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370" windowWidth="9570" windowHeight="24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{"'Sheet1'!$A$1:$J$860"}</definedName>
    <definedName name="HTML_Description" hidden="1">""</definedName>
    <definedName name="HTML_Email" hidden="1">""</definedName>
    <definedName name="HTML_Header" hidden="1">"Sheet1"</definedName>
    <definedName name="HTML_LastUpdate" hidden="1">"7/17/99"</definedName>
    <definedName name="HTML_LineAfter" hidden="1">FALSE</definedName>
    <definedName name="HTML_LineBefore" hidden="1">FALSE</definedName>
    <definedName name="HTML_Name" hidden="1">"C.S.Indulkar"</definedName>
    <definedName name="HTML_OBDlg2" hidden="1">TRUE</definedName>
    <definedName name="HTML_OBDlg4" hidden="1">TRUE</definedName>
    <definedName name="HTML_OS" hidden="1">0</definedName>
    <definedName name="HTML_PathFile" hidden="1">"C:\My Documents\MyHTML3.htm"</definedName>
    <definedName name="HTML_Title" hidden="1">"CHAPTER3"</definedName>
  </definedNames>
  <calcPr fullCalcOnLoad="1"/>
</workbook>
</file>

<file path=xl/sharedStrings.xml><?xml version="1.0" encoding="utf-8"?>
<sst xmlns="http://schemas.openxmlformats.org/spreadsheetml/2006/main" count="1184" uniqueCount="733">
  <si>
    <t>Induction Motor Problems</t>
  </si>
  <si>
    <t>Problems</t>
  </si>
  <si>
    <t>Sub-topics</t>
  </si>
  <si>
    <t>Induction motor-performance from Equivalent circuit</t>
  </si>
  <si>
    <t>Induction motor- Maximum torque and starting torque</t>
  </si>
  <si>
    <t>Induction motor-starting</t>
  </si>
  <si>
    <t>Induction motor- Testing and equivalent circuit</t>
  </si>
  <si>
    <t>Prob.3.1</t>
  </si>
  <si>
    <t>A 3-phase star-connected  220 V (L-L) 7.46 kW ,50 Hz,6-pole induction motor has</t>
  </si>
  <si>
    <t>R1=.294 ohms,R2=.144 ohms</t>
  </si>
  <si>
    <t>X1= .503 ohms,X2=.209 ohms</t>
  </si>
  <si>
    <t xml:space="preserve">power factor,and efficiency when the motor is operated at rated voltage and frequency </t>
  </si>
  <si>
    <t>Solution:</t>
  </si>
  <si>
    <t>Equivalent Circuit</t>
  </si>
  <si>
    <t>X1</t>
  </si>
  <si>
    <t>R1</t>
  </si>
  <si>
    <t>X2</t>
  </si>
  <si>
    <t>Zin</t>
  </si>
  <si>
    <t>Zf</t>
  </si>
  <si>
    <r>
      <t>X</t>
    </r>
    <r>
      <rPr>
        <sz val="10"/>
        <rFont val="Symbol"/>
        <family val="1"/>
      </rPr>
      <t>f</t>
    </r>
  </si>
  <si>
    <t>R2/s</t>
  </si>
  <si>
    <t>ohms</t>
  </si>
  <si>
    <t>R2</t>
  </si>
  <si>
    <r>
      <t>Zf=Rf+ j Xf = (R2/s+j X2 ) in parallel with j X</t>
    </r>
    <r>
      <rPr>
        <sz val="10"/>
        <rFont val="Symbol"/>
        <family val="1"/>
      </rPr>
      <t>f</t>
    </r>
  </si>
  <si>
    <t>slip,s=</t>
  </si>
  <si>
    <r>
      <t>Rf=(</t>
    </r>
    <r>
      <rPr>
        <sz val="10"/>
        <rFont val="Arial"/>
        <family val="0"/>
      </rPr>
      <t>R2*X</t>
    </r>
    <r>
      <rPr>
        <sz val="10"/>
        <rFont val="Symbol"/>
        <family val="1"/>
      </rPr>
      <t>f*</t>
    </r>
    <r>
      <rPr>
        <sz val="10"/>
        <rFont val="Arial"/>
        <family val="0"/>
      </rPr>
      <t>X</t>
    </r>
    <r>
      <rPr>
        <sz val="10"/>
        <rFont val="Symbol"/>
        <family val="1"/>
      </rPr>
      <t>f/</t>
    </r>
    <r>
      <rPr>
        <sz val="10"/>
        <rFont val="Arial"/>
        <family val="2"/>
      </rPr>
      <t>s)/((*(R2/s)*(R2/s)+(X2+X</t>
    </r>
    <r>
      <rPr>
        <sz val="10"/>
        <rFont val="Symbol"/>
        <family val="1"/>
      </rPr>
      <t>f</t>
    </r>
    <r>
      <rPr>
        <sz val="10"/>
        <rFont val="Arial"/>
        <family val="2"/>
      </rPr>
      <t>)*(X2+X</t>
    </r>
    <r>
      <rPr>
        <sz val="10"/>
        <rFont val="Symbol"/>
        <family val="1"/>
      </rPr>
      <t>f</t>
    </r>
    <r>
      <rPr>
        <sz val="10"/>
        <rFont val="Arial"/>
        <family val="2"/>
      </rPr>
      <t>))=</t>
    </r>
  </si>
  <si>
    <r>
      <t>Xf=((R2*R2*X</t>
    </r>
    <r>
      <rPr>
        <sz val="10"/>
        <rFont val="Symbol"/>
        <family val="1"/>
      </rPr>
      <t>f</t>
    </r>
    <r>
      <rPr>
        <sz val="10"/>
        <rFont val="Arial"/>
        <family val="0"/>
      </rPr>
      <t>/s*s )+X2*X2*X</t>
    </r>
    <r>
      <rPr>
        <sz val="10"/>
        <rFont val="Symbol"/>
        <family val="1"/>
      </rPr>
      <t>f+</t>
    </r>
    <r>
      <rPr>
        <sz val="10"/>
        <rFont val="Arial"/>
        <family val="2"/>
      </rPr>
      <t>X</t>
    </r>
    <r>
      <rPr>
        <sz val="10"/>
        <rFont val="Symbol"/>
        <family val="1"/>
      </rPr>
      <t>2*</t>
    </r>
    <r>
      <rPr>
        <sz val="10"/>
        <rFont val="Arial"/>
        <family val="2"/>
      </rPr>
      <t>X</t>
    </r>
    <r>
      <rPr>
        <sz val="10"/>
        <rFont val="Symbol"/>
        <family val="1"/>
      </rPr>
      <t>f*</t>
    </r>
    <r>
      <rPr>
        <sz val="10"/>
        <rFont val="Arial"/>
        <family val="2"/>
      </rPr>
      <t>X</t>
    </r>
    <r>
      <rPr>
        <sz val="10"/>
        <rFont val="Symbol"/>
        <family val="1"/>
      </rPr>
      <t>f)/(</t>
    </r>
    <r>
      <rPr>
        <sz val="10"/>
        <rFont val="Arial"/>
        <family val="2"/>
      </rPr>
      <t>(R2/s)*R2/S)+(X2+X</t>
    </r>
    <r>
      <rPr>
        <sz val="10"/>
        <rFont val="Symbol"/>
        <family val="1"/>
      </rPr>
      <t>f</t>
    </r>
    <r>
      <rPr>
        <sz val="10"/>
        <rFont val="Arial"/>
        <family val="2"/>
      </rPr>
      <t>)*(X2+X</t>
    </r>
    <r>
      <rPr>
        <sz val="10"/>
        <rFont val="Symbol"/>
        <family val="1"/>
      </rPr>
      <t>f</t>
    </r>
    <r>
      <rPr>
        <sz val="10"/>
        <rFont val="Arial"/>
        <family val="2"/>
      </rPr>
      <t>))</t>
    </r>
  </si>
  <si>
    <t>Zin=R1+Rf+jX1+jXf</t>
  </si>
  <si>
    <t>Re Zin=</t>
  </si>
  <si>
    <t>Im Zin=</t>
  </si>
  <si>
    <t>Zin=</t>
  </si>
  <si>
    <r>
      <t>angle of Zin=</t>
    </r>
    <r>
      <rPr>
        <sz val="10"/>
        <rFont val="Symbol"/>
        <family val="1"/>
      </rPr>
      <t>t</t>
    </r>
  </si>
  <si>
    <t>deg.</t>
  </si>
  <si>
    <t>Supply voltage , V/phase=</t>
  </si>
  <si>
    <t>Volts</t>
  </si>
  <si>
    <t>I1,Stator current=V/Zin=</t>
  </si>
  <si>
    <t>Amps.</t>
  </si>
  <si>
    <t>Answer</t>
  </si>
  <si>
    <r>
      <t>Power factor,cos</t>
    </r>
    <r>
      <rPr>
        <sz val="10"/>
        <rFont val="Symbol"/>
        <family val="1"/>
      </rPr>
      <t>t=</t>
    </r>
  </si>
  <si>
    <t>lag</t>
  </si>
  <si>
    <t>Supply frequency,f=</t>
  </si>
  <si>
    <t>Hz</t>
  </si>
  <si>
    <t>P,No. of poles=</t>
  </si>
  <si>
    <t>Ns,speed=120f/P=</t>
  </si>
  <si>
    <t>RPM</t>
  </si>
  <si>
    <r>
      <t>w</t>
    </r>
    <r>
      <rPr>
        <sz val="10"/>
        <rFont val="Arial"/>
        <family val="0"/>
      </rPr>
      <t>s=2</t>
    </r>
    <r>
      <rPr>
        <sz val="10"/>
        <rFont val="Symbol"/>
        <family val="1"/>
      </rPr>
      <t>p</t>
    </r>
    <r>
      <rPr>
        <sz val="10"/>
        <rFont val="Arial"/>
        <family val="0"/>
      </rPr>
      <t>Ns</t>
    </r>
  </si>
  <si>
    <t>rad/s</t>
  </si>
  <si>
    <t>Actual speed,Nr=(1-s)Ns=</t>
  </si>
  <si>
    <t>Pg1,Gap power=3I2*I2*R2/s=3I1*I1*Rf=</t>
  </si>
  <si>
    <t>W</t>
  </si>
  <si>
    <t>Internal Mech. Power=(1-s)Pg1</t>
  </si>
  <si>
    <t>Friction+ Windage+ core loss=</t>
  </si>
  <si>
    <t>Output power=Int.Mech.Power-friction-Wndage-core loss</t>
  </si>
  <si>
    <r>
      <t>Output torque= output power*60/2</t>
    </r>
    <r>
      <rPr>
        <sz val="10"/>
        <rFont val="Symbol"/>
        <family val="1"/>
      </rPr>
      <t xml:space="preserve">p </t>
    </r>
    <r>
      <rPr>
        <sz val="10"/>
        <rFont val="Arial"/>
        <family val="0"/>
      </rPr>
      <t>Nr</t>
    </r>
  </si>
  <si>
    <t>N-m</t>
  </si>
  <si>
    <t>Rotor Cu loss= slip* Pg1=</t>
  </si>
  <si>
    <t>Stator loss=3*I1*I1*R1=</t>
  </si>
  <si>
    <t>Efficiency=Output/(Output+losses)=</t>
  </si>
  <si>
    <t>Prob.3.2</t>
  </si>
  <si>
    <t>Induction motor -maximum torque and starting torque</t>
  </si>
  <si>
    <t>The rotor resistance and reactance of a 4-pole ,50 Hz ,3-phase slip-ring induction motor</t>
  </si>
  <si>
    <t xml:space="preserve"> is .4 and 4 ohms per phase  respectively.Calculate at what speed the torque is a </t>
  </si>
  <si>
    <t xml:space="preserve">What value must the external resistance per phase have so that the starting torque is </t>
  </si>
  <si>
    <t>half of the maximum torque?</t>
  </si>
  <si>
    <t>R2=</t>
  </si>
  <si>
    <t>X2=</t>
  </si>
  <si>
    <t>slip at max.toeque=R2/X2=</t>
  </si>
  <si>
    <t>Nr,actual speed= Ns(1-s)=</t>
  </si>
  <si>
    <t>Since s= 1 at starting,</t>
  </si>
  <si>
    <t>Tstart/Tmax=[R2/(R2*R2+X2*X2)]/[sR2/(R2*R2+s*s*X2*X2)]</t>
  </si>
  <si>
    <t>sR2/(R2*R2+s*s*X2*X2)=</t>
  </si>
  <si>
    <t>Therefore,</t>
  </si>
  <si>
    <t>Tmax=</t>
  </si>
  <si>
    <t>=constant*0.125</t>
  </si>
  <si>
    <t xml:space="preserve">Starting torque can be made equal to half the max.torque, by introducing an external </t>
  </si>
  <si>
    <t>Tstart=.5*Tmax</t>
  </si>
  <si>
    <t>=constant*.0625</t>
  </si>
  <si>
    <t>=Constant*(R2+r)/((R2+r)*(R2+r)+X2*x2)</t>
  </si>
  <si>
    <t>or,</t>
  </si>
  <si>
    <t>.0625r*r+r(.125R2-1)+.0625R2*R2+.0625X2*X2-R2=0</t>
  </si>
  <si>
    <t>A quadratic Equation:</t>
  </si>
  <si>
    <t>a.r*r +b*r+c=0 where,</t>
  </si>
  <si>
    <t>a=</t>
  </si>
  <si>
    <t>b=</t>
  </si>
  <si>
    <t>c=</t>
  </si>
  <si>
    <t>r=</t>
  </si>
  <si>
    <t>=(-b+sqrt(b*b-4*a*c))/(2*a)</t>
  </si>
  <si>
    <t>High value</t>
  </si>
  <si>
    <t>=(-b-sqrt(b*b-4*a*c))/(2*a)</t>
  </si>
  <si>
    <t>Low value</t>
  </si>
  <si>
    <t>Higher value is preferable.</t>
  </si>
  <si>
    <t>Prob.3.3</t>
  </si>
  <si>
    <t>(a) the rotor is connected to a star -connected external resistance of 4 ohms per phase,</t>
  </si>
  <si>
    <t>(b) when the slips are short-circuited.</t>
  </si>
  <si>
    <t>V,Emf per phase at standstill=50/1.73=</t>
  </si>
  <si>
    <t>(a)</t>
  </si>
  <si>
    <t>R2=rotor resistance=</t>
  </si>
  <si>
    <t>X2=rotor reactance=</t>
  </si>
  <si>
    <t>r= external resistance=</t>
  </si>
  <si>
    <t>Z=sqrt((R2+r)*(R2+r)+X2*X2)=</t>
  </si>
  <si>
    <t>I,current=V/Z=</t>
  </si>
  <si>
    <t>Amps</t>
  </si>
  <si>
    <t>pf=(R2+r)/Z=</t>
  </si>
  <si>
    <t>(b)</t>
  </si>
  <si>
    <t>Z=sqrt(R2*R2+X2*X2)=</t>
  </si>
  <si>
    <t>I=V/Z=</t>
  </si>
  <si>
    <t>pf=R2/Z=</t>
  </si>
  <si>
    <t>(poor starting torque)</t>
  </si>
  <si>
    <t>Prob.3.4</t>
  </si>
  <si>
    <t>results:</t>
  </si>
  <si>
    <t>Locked -rotor test:99V,14 A,980 W</t>
  </si>
  <si>
    <t>-amperes ,equally between stator and rotor windings .Determine also ,the torque ,</t>
  </si>
  <si>
    <t xml:space="preserve">If the stator phase windings are actually connected in delta,estimate the value of </t>
  </si>
  <si>
    <t>Exact equivalent circuit</t>
  </si>
  <si>
    <t>.833 ohm</t>
  </si>
  <si>
    <t>j 1.864 ohm</t>
  </si>
  <si>
    <t>I1</t>
  </si>
  <si>
    <t>I2'</t>
  </si>
  <si>
    <t>Io</t>
  </si>
  <si>
    <t>420/1.73 V</t>
  </si>
  <si>
    <t>653 ohm</t>
  </si>
  <si>
    <t>j 36.25 ohm</t>
  </si>
  <si>
    <t>.833/s</t>
  </si>
  <si>
    <t>Rm</t>
  </si>
  <si>
    <t>Xm</t>
  </si>
  <si>
    <t>Ic</t>
  </si>
  <si>
    <t>Im</t>
  </si>
  <si>
    <t>Approximate  equivalent circuit</t>
  </si>
  <si>
    <t>j 3.727 ohm</t>
  </si>
  <si>
    <t>(.833/s)=</t>
  </si>
  <si>
    <t>27.77 at s= .03</t>
  </si>
  <si>
    <t>V, voltage per phase=</t>
  </si>
  <si>
    <t>V</t>
  </si>
  <si>
    <t>OC test loss=</t>
  </si>
  <si>
    <t>Mech.loss=</t>
  </si>
  <si>
    <t xml:space="preserve">Core loss=     P =          </t>
  </si>
  <si>
    <t>Core loss/ph=</t>
  </si>
  <si>
    <t>Rm=V*V/P=</t>
  </si>
  <si>
    <t>Ic=V/Rm=</t>
  </si>
  <si>
    <t>A</t>
  </si>
  <si>
    <t>Io,No-load current=</t>
  </si>
  <si>
    <t>Im=SQRT(Io*Io-Ic*Ic)</t>
  </si>
  <si>
    <t>Xm=V/Im=</t>
  </si>
  <si>
    <t>From open  circuit test data:</t>
  </si>
  <si>
    <t>From short-circuit test data:</t>
  </si>
  <si>
    <t>V'.applied voltage per phase=99/1.73</t>
  </si>
  <si>
    <t>I',short-circuit current=</t>
  </si>
  <si>
    <t>Zeq=V'/I'=</t>
  </si>
  <si>
    <t>P',copper loss=</t>
  </si>
  <si>
    <t>Req=P'/3*I'*I'=</t>
  </si>
  <si>
    <t>Xeq=sqrt(Zeq*Zeq-Req*req)</t>
  </si>
  <si>
    <t>From the approximate circuit with s=.03,</t>
  </si>
  <si>
    <t>I2'=V/(27.77+.833+j 3.727)</t>
  </si>
  <si>
    <t>ReI2'=V*28.603/(28.603*28.603+3.727*3.727)=</t>
  </si>
  <si>
    <t>Im I2'=-V3.727/(28.603*28.603+3.727*3.727)=</t>
  </si>
  <si>
    <t>I2'=sqrt(ReI2'*ReI2'+ImI2'*ImI2')=</t>
  </si>
  <si>
    <t>Angle of I2'=</t>
  </si>
  <si>
    <t>Torque=3 I2'*I2'*R2'/s=</t>
  </si>
  <si>
    <t>slip,s =</t>
  </si>
  <si>
    <t>R2'=</t>
  </si>
  <si>
    <t>R2'/s=.833/s=</t>
  </si>
  <si>
    <t>sync.watts</t>
  </si>
  <si>
    <r>
      <t>w=2p</t>
    </r>
    <r>
      <rPr>
        <sz val="10"/>
        <rFont val="Arial"/>
        <family val="2"/>
      </rPr>
      <t>ns</t>
    </r>
  </si>
  <si>
    <t>f,frequency=</t>
  </si>
  <si>
    <t>p=pole pairs=</t>
  </si>
  <si>
    <t>ns,sync.speed=f/p=</t>
  </si>
  <si>
    <t>rev/s</t>
  </si>
  <si>
    <r>
      <t>Torque,Nm=Torque(sync.W)/</t>
    </r>
    <r>
      <rPr>
        <sz val="10"/>
        <rFont val="Symbol"/>
        <family val="1"/>
      </rPr>
      <t>w</t>
    </r>
  </si>
  <si>
    <t>Nm</t>
  </si>
  <si>
    <t>Gross output power=Torque(syn.W)(1-s)=</t>
  </si>
  <si>
    <t>Allowing for friction and windage losses,</t>
  </si>
  <si>
    <t>output power =</t>
  </si>
  <si>
    <t>Total Cu loss=3*I2'*I2'(R1+R2')</t>
  </si>
  <si>
    <t>Since R1=R2',</t>
  </si>
  <si>
    <t>Total Cu loss=6*I2'*I2'(R2')</t>
  </si>
  <si>
    <t>Total Cu+Core+mech.loss=</t>
  </si>
  <si>
    <t>Efficiency=output/(output+losses)</t>
  </si>
  <si>
    <t>pu</t>
  </si>
  <si>
    <t>Input line current,I1= I2'+Io=</t>
  </si>
  <si>
    <t>Re I1=Ic+Re I2'=</t>
  </si>
  <si>
    <t>I1=sqrt(ReI1*ReI1+ImI1*imI1)</t>
  </si>
  <si>
    <t>ImI1=-Im+ImI2'=</t>
  </si>
  <si>
    <t>Input pf=</t>
  </si>
  <si>
    <t xml:space="preserve">developed in delta with same line voltage and current,impedance per phase must be </t>
  </si>
  <si>
    <t>Prob.3.5</t>
  </si>
  <si>
    <t>Induction motor-starting current,starting torque &amp; max.torque</t>
  </si>
  <si>
    <t>For the 11.19 kW 4 pole motor described below ,find slip at which maximum torque occurs,</t>
  </si>
  <si>
    <t xml:space="preserve">maximum torque ,slip at which maximum power occurs,maximum power ,starting torque, </t>
  </si>
  <si>
    <t xml:space="preserve"> and starting current.</t>
  </si>
  <si>
    <t>220 V(L-L),3-phase,11.19kW,1725 RPM,R1=.15 ohm,R2=.2 ohm,X1=X2=.3 ohm</t>
  </si>
  <si>
    <t>Friction &amp; windage loss= 300 W</t>
  </si>
  <si>
    <t>R2(1-s)/s</t>
  </si>
  <si>
    <t>Slip at max. torque=R2/SQRT(R1*R1+(X1+X2)*(X1+X2))</t>
  </si>
  <si>
    <t>R1=</t>
  </si>
  <si>
    <t>X1=X2=</t>
  </si>
  <si>
    <t>ohm</t>
  </si>
  <si>
    <t xml:space="preserve">V per phase </t>
  </si>
  <si>
    <t>Tmax=3V*V/(2(R1+sqrt(R1*R1+(X1+X2)*(X1+X2))))</t>
  </si>
  <si>
    <t xml:space="preserve"> sync.W</t>
  </si>
  <si>
    <r>
      <t>Tmax,Nm=Tmax(sync.W)/2</t>
    </r>
    <r>
      <rPr>
        <sz val="10"/>
        <rFont val="Symbol"/>
        <family val="1"/>
      </rPr>
      <t>p</t>
    </r>
    <r>
      <rPr>
        <sz val="10"/>
        <rFont val="Arial"/>
        <family val="0"/>
      </rPr>
      <t>ns</t>
    </r>
  </si>
  <si>
    <t>p,pole pairs=</t>
  </si>
  <si>
    <t>sync.speed,ns=f/p=</t>
  </si>
  <si>
    <t>frequency=60 Hz</t>
  </si>
  <si>
    <t>Slip at max.power=R2/(R2+Zeq)</t>
  </si>
  <si>
    <t>Zeq=sqrt((R1+R2)*(R1+r2)+(X1+X2)*(X1+X2))</t>
  </si>
  <si>
    <t>Max.Power=3*V*V/(2(R2+Zeq))=</t>
  </si>
  <si>
    <t>Starting torque in synchronous watts=3V*V*R2/(Zeq*Zeq)=</t>
  </si>
  <si>
    <r>
      <t>Starting torque=Torque in sync.W/2</t>
    </r>
    <r>
      <rPr>
        <sz val="10"/>
        <rFont val="Symbol"/>
        <family val="1"/>
      </rPr>
      <t>p</t>
    </r>
    <r>
      <rPr>
        <sz val="10"/>
        <rFont val="Arial"/>
        <family val="0"/>
      </rPr>
      <t>ns</t>
    </r>
  </si>
  <si>
    <t>Starting current=V/Zeq=</t>
  </si>
  <si>
    <t>increased by a factor of 3 .Due to skin effect , resistance under ac conditions exceeds</t>
  </si>
  <si>
    <t>that for dc so the value of stator phase resistance will be somewhat less than 2.5 ohms.</t>
  </si>
  <si>
    <t>Prob.3.6</t>
  </si>
  <si>
    <t>Induction motor:Starting torque from Tests</t>
  </si>
  <si>
    <t>A 3-phase 14.92kW 400V,20A,1000RPM squirrel -cage motor drives a pump.Calculate</t>
  </si>
  <si>
    <t>the starting torque of the motor at 50 % rated voltage from the following test information:</t>
  </si>
  <si>
    <t>Blocked rotor:200V,80A,20kW</t>
  </si>
  <si>
    <t>Resistance between stator terminals=1 ohm</t>
  </si>
  <si>
    <t>At 50% rated voltage,the current is 100 A and the motor input is 30 kW.The stator copper</t>
  </si>
  <si>
    <t xml:space="preserve"> is 10kW.</t>
  </si>
  <si>
    <t>Fixed losses= No-load loss-stator cu loss at no load</t>
  </si>
  <si>
    <t>stator resistance /phase,r=</t>
  </si>
  <si>
    <t>I,Stator current,no load=</t>
  </si>
  <si>
    <t>stator cu loss,no load=3*I*Ir</t>
  </si>
  <si>
    <t>No-load loss=</t>
  </si>
  <si>
    <t>Starting voltage=</t>
  </si>
  <si>
    <t>Test voltage =</t>
  </si>
  <si>
    <t>=(starting voltage/Test voltage)squared=</t>
  </si>
  <si>
    <t xml:space="preserve">Hence,the rotor input at 50% rated voltage is=motor input- fixed loss-stator cu loss </t>
  </si>
  <si>
    <t>stator cu loss at 50% rated voltage=</t>
  </si>
  <si>
    <t>Motor input=</t>
  </si>
  <si>
    <t>Sync.W</t>
  </si>
  <si>
    <r>
      <t>Starting torque=Rotor input in sync.W/2</t>
    </r>
    <r>
      <rPr>
        <sz val="10"/>
        <rFont val="Symbol"/>
        <family val="1"/>
      </rPr>
      <t>p</t>
    </r>
    <r>
      <rPr>
        <sz val="10"/>
        <rFont val="Arial"/>
        <family val="0"/>
      </rPr>
      <t>ns=</t>
    </r>
  </si>
  <si>
    <t>speed ,RPM=</t>
  </si>
  <si>
    <t>speed,rps,ns=</t>
  </si>
  <si>
    <t>Induction motor-Performance using exact &amp; approximate equivalent circuits</t>
  </si>
  <si>
    <t>Prob.3.7</t>
  </si>
  <si>
    <t xml:space="preserve">A 400 V 3-phase,50 Hz 8 pole star-connected induction motor has the following equivalent </t>
  </si>
  <si>
    <t>circuit parameters:</t>
  </si>
  <si>
    <t>R1=.1 ohm,R2=.3 ohm,X1= .6 ohm,X2=2 ohm</t>
  </si>
  <si>
    <t>5%.</t>
  </si>
  <si>
    <t xml:space="preserve">(a) Determine the full-load gross torque,stator input current and power factor using both </t>
  </si>
  <si>
    <t>1/1.5.</t>
  </si>
  <si>
    <t>(b) Using the approximate circuit of (a), calculate the output of the machine when driven</t>
  </si>
  <si>
    <t>at a speed of 780 RPM.</t>
  </si>
  <si>
    <t>.1 ohm</t>
  </si>
  <si>
    <t>j.6 ohm</t>
  </si>
  <si>
    <t>Re Ym=</t>
  </si>
  <si>
    <t>ImYm=</t>
  </si>
  <si>
    <t>Slip=</t>
  </si>
  <si>
    <t>T,Stator/Rotor turns=</t>
  </si>
  <si>
    <t>R2'=R2*T*T=</t>
  </si>
  <si>
    <t>mho</t>
  </si>
  <si>
    <t>X2'=X2*T*T=</t>
  </si>
  <si>
    <t>R2'/s=</t>
  </si>
  <si>
    <t>jX2'=</t>
  </si>
  <si>
    <t>volts</t>
  </si>
  <si>
    <t>Approximate circuit:</t>
  </si>
  <si>
    <t>I2'=V1/Z=</t>
  </si>
  <si>
    <t>Im Z=X1+X2'=</t>
  </si>
  <si>
    <t>Re Z=R1+R2'/s=</t>
  </si>
  <si>
    <t>ImI2'=</t>
  </si>
  <si>
    <t>=-V1*ImZ/(ReZ*ReZ+ImZ*ImZ)=</t>
  </si>
  <si>
    <t>I2'mag=</t>
  </si>
  <si>
    <t>a</t>
  </si>
  <si>
    <t>b</t>
  </si>
  <si>
    <t>E1</t>
  </si>
  <si>
    <t>Ic=V1*ReYm=</t>
  </si>
  <si>
    <t>Im=V1*ImYm=</t>
  </si>
  <si>
    <t>ReI1=Ic+ReI2'=</t>
  </si>
  <si>
    <t>ImI1=Im+ImI2'=</t>
  </si>
  <si>
    <t>I1 mag=</t>
  </si>
  <si>
    <r>
      <t>Torque=(3*I2'*I2'*R2'/s)/(2</t>
    </r>
    <r>
      <rPr>
        <sz val="10"/>
        <rFont val="Symbol"/>
        <family val="1"/>
      </rPr>
      <t>p</t>
    </r>
    <r>
      <rPr>
        <sz val="10"/>
        <rFont val="Arial"/>
        <family val="0"/>
      </rPr>
      <t>ns)=</t>
    </r>
  </si>
  <si>
    <t>f=frequency=</t>
  </si>
  <si>
    <t>ns,speed=f/p=</t>
  </si>
  <si>
    <t>Input pf=ReI1/I1mag=</t>
  </si>
  <si>
    <t xml:space="preserve">Admittance between a and b is </t>
  </si>
  <si>
    <t>Y=Ym+1/Z</t>
  </si>
  <si>
    <t>Zmag=</t>
  </si>
  <si>
    <t>ReY=ReYm+(R2'/s)/((R2'/s)*(R2'/s)+X2'*X2')=</t>
  </si>
  <si>
    <t>ImY=ImYm-X2'/((R2'/s)*(R2'/s)+X2'*X2')=</t>
  </si>
  <si>
    <t>Zab=1/Y</t>
  </si>
  <si>
    <t>ReZab=ReY/(ReY*ReY+ImY*ImY)=</t>
  </si>
  <si>
    <t>Im Zab=-ImY/(ReY*ReY+ImY*ImY)=</t>
  </si>
  <si>
    <t>Zab mag=</t>
  </si>
  <si>
    <t>Z=Input impedance</t>
  </si>
  <si>
    <t>Re Z=R1+Re Zab=</t>
  </si>
  <si>
    <t>ImZ= X1+Im Zab=</t>
  </si>
  <si>
    <t>Z mag=</t>
  </si>
  <si>
    <t>Input current =V1/Zmag=</t>
  </si>
  <si>
    <t>Input pf=Cos(atan(ImZ/ReZ))=</t>
  </si>
  <si>
    <t>To find the emf E1,since the same current I1 flows through Z and Zab in series ,the voltage</t>
  </si>
  <si>
    <t>E1=V1*Zab/Z=</t>
  </si>
  <si>
    <t>Hence,</t>
  </si>
  <si>
    <t>I2'=sqrt(E1*E1/((R2'/s)*(R2'/s)+X2'*X2')=</t>
  </si>
  <si>
    <t>Torque is proportional to current squared.Therefore,</t>
  </si>
  <si>
    <t>Torque=550.335*(71.599/73.504)*(71.599/73.504)=</t>
  </si>
  <si>
    <t>Ic=E1 ReYm=</t>
  </si>
  <si>
    <t>Im= E1*ImYm=</t>
  </si>
  <si>
    <t>Speed, Nr=</t>
  </si>
  <si>
    <t>nr=</t>
  </si>
  <si>
    <t>slip=(ns-nr)/ns</t>
  </si>
  <si>
    <t>r2=Apparent rotor circuit resistance=R2'/slip=</t>
  </si>
  <si>
    <t>Apparent impedance,Z',</t>
  </si>
  <si>
    <t>ReI2'=V1*ReZ'/(ReZ'*ReZ'+ImZ'*ImZ')=</t>
  </si>
  <si>
    <t>ReZ'=R1+r2=</t>
  </si>
  <si>
    <t>ImZ'=X1+X2'=</t>
  </si>
  <si>
    <t>ImI2'=-V1*ImZ'/(ReZ'*ReZ'+ImZ'*ImZ'))=</t>
  </si>
  <si>
    <t>From the approx.circuit of (a)</t>
  </si>
  <si>
    <t>Io=1.15-j11.5. Therefore,</t>
  </si>
  <si>
    <t>ReI1=ReI2'+1.15=</t>
  </si>
  <si>
    <t>ImI1=ImI2'-11.5=</t>
  </si>
  <si>
    <t>Output kVA=1.73*400*I1mag=</t>
  </si>
  <si>
    <t>kVA</t>
  </si>
  <si>
    <t>pf=ReI1/I1mag=</t>
  </si>
  <si>
    <t>lead</t>
  </si>
  <si>
    <t>Prob .3.8</t>
  </si>
  <si>
    <t>Induction Motor- Efficiency and torque</t>
  </si>
  <si>
    <t xml:space="preserve">(I) An induction motor draws 25 A from 460 V three-phase line at a power factor of .85 </t>
  </si>
  <si>
    <t>lagging The stator cu loss is 1000W, and the rotor cu loss is 500 W.</t>
  </si>
  <si>
    <t>Rotational ,wndage, and friction losses =250 W, Core loss=800 W,stray load loss=200 W.</t>
  </si>
  <si>
    <t>Calculate</t>
  </si>
  <si>
    <t>(b) the developed mechanical power</t>
  </si>
  <si>
    <t>(a) the air gap power ,Pg</t>
  </si>
  <si>
    <t>(c) output horse power</t>
  </si>
  <si>
    <t>(d) efficiency</t>
  </si>
  <si>
    <t xml:space="preserve">find </t>
  </si>
  <si>
    <t>(a)slip,</t>
  </si>
  <si>
    <t>(b)operating speed</t>
  </si>
  <si>
    <t>(d)output torque</t>
  </si>
  <si>
    <t>(c)developed torque</t>
  </si>
  <si>
    <t>V,Supply voltage(L-L)=</t>
  </si>
  <si>
    <t>I1,Input current=</t>
  </si>
  <si>
    <t>Stator cu loss=</t>
  </si>
  <si>
    <t>Input power=1.73*VI1*pf=</t>
  </si>
  <si>
    <t>Pg,air gap power=Input power - stator loss=</t>
  </si>
  <si>
    <t>Rotor cu loss=</t>
  </si>
  <si>
    <t>Developed mech.power= Pg- rotor cu  loss=</t>
  </si>
  <si>
    <t>©</t>
  </si>
  <si>
    <t>core loss=</t>
  </si>
  <si>
    <t>friction+windage=</t>
  </si>
  <si>
    <t>Stray load loss=</t>
  </si>
  <si>
    <t>(d)</t>
  </si>
  <si>
    <t>Efficiency =output/input=</t>
  </si>
  <si>
    <t>(i )</t>
  </si>
  <si>
    <t>(ii)</t>
  </si>
  <si>
    <t>slip=Rotor cu loss /Pg=</t>
  </si>
  <si>
    <t>p,pole pairs =</t>
  </si>
  <si>
    <t>ns,speed =f/p=</t>
  </si>
  <si>
    <t>nr=ns(1-slip)=</t>
  </si>
  <si>
    <t>Nr=nr*60=</t>
  </si>
  <si>
    <r>
      <t>Developed torque=Developed mech .power/2</t>
    </r>
    <r>
      <rPr>
        <sz val="10"/>
        <rFont val="Symbol"/>
        <family val="1"/>
      </rPr>
      <t>p</t>
    </r>
    <r>
      <rPr>
        <sz val="10"/>
        <rFont val="Arial"/>
        <family val="0"/>
      </rPr>
      <t>nr=</t>
    </r>
  </si>
  <si>
    <r>
      <t>Output torque=output power/2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nr=</t>
    </r>
  </si>
  <si>
    <t>Back to top of page</t>
  </si>
  <si>
    <t>Prob.3.9</t>
  </si>
  <si>
    <t>Induction motor Starting- with autotransformer,star-delta switch,stator resistance starter</t>
  </si>
  <si>
    <t>Induction motor Starting- with autotransformer,star-delta switch,and</t>
  </si>
  <si>
    <t>stator resistance starter</t>
  </si>
  <si>
    <t>(a) auto-transformer with 60 % tapping</t>
  </si>
  <si>
    <t xml:space="preserve">(b) star-delta switch, and </t>
  </si>
  <si>
    <t>( c) by a stator resistor starter to give  a starting current of twice the full - load current.</t>
  </si>
  <si>
    <t>f</t>
  </si>
  <si>
    <t>frequency</t>
  </si>
  <si>
    <t>p</t>
  </si>
  <si>
    <t>pole pairs</t>
  </si>
  <si>
    <t>ns</t>
  </si>
  <si>
    <t xml:space="preserve">syn.speed </t>
  </si>
  <si>
    <t>s</t>
  </si>
  <si>
    <t>slip</t>
  </si>
  <si>
    <t>nr</t>
  </si>
  <si>
    <t xml:space="preserve">speed </t>
  </si>
  <si>
    <t>Nr</t>
  </si>
  <si>
    <t>=(ns-nr)/ns</t>
  </si>
  <si>
    <t>Torque is proportional to I2*I2/s</t>
  </si>
  <si>
    <t xml:space="preserve">Is </t>
  </si>
  <si>
    <t>Starting current</t>
  </si>
  <si>
    <t>IFL</t>
  </si>
  <si>
    <t>Full load current</t>
  </si>
  <si>
    <t>T start/T full load=Is*Is*slip/IFL *IFL</t>
  </si>
  <si>
    <t>(a)Auto transformer</t>
  </si>
  <si>
    <t>Is=</t>
  </si>
  <si>
    <t>=0.6*5*IFL</t>
  </si>
  <si>
    <t>=3*IFL</t>
  </si>
  <si>
    <t>Tstart/T Fl</t>
  </si>
  <si>
    <t>Is/I FL</t>
  </si>
  <si>
    <t>=(Is/I FL)*(Is/I FL )* slip=</t>
  </si>
  <si>
    <t>Voltage impressed per phase during starting=V/1.73205</t>
  </si>
  <si>
    <t>Therefor ,starting current/Full load current=5/1.73, or</t>
  </si>
  <si>
    <t>Is/I Fl</t>
  </si>
  <si>
    <t>( c)</t>
  </si>
  <si>
    <t>Is/IFL</t>
  </si>
  <si>
    <t>=</t>
  </si>
  <si>
    <t>Prob.3.10</t>
  </si>
  <si>
    <t>Induction motor- Single-phase -Capacitor start</t>
  </si>
  <si>
    <t>Main winding,Zm=4.5 + j 3.7 ohms</t>
  </si>
  <si>
    <t>Auxiliary winding,Za= 9.5+ j 3.5 ohms</t>
  </si>
  <si>
    <t>Ia</t>
  </si>
  <si>
    <r>
      <t>t</t>
    </r>
    <r>
      <rPr>
        <sz val="10"/>
        <rFont val="Arial"/>
        <family val="0"/>
      </rPr>
      <t>a</t>
    </r>
  </si>
  <si>
    <r>
      <t>t</t>
    </r>
    <r>
      <rPr>
        <sz val="10"/>
        <rFont val="Arial"/>
        <family val="0"/>
      </rPr>
      <t>m</t>
    </r>
  </si>
  <si>
    <t>Ra</t>
  </si>
  <si>
    <t>Xa</t>
  </si>
  <si>
    <t>=atan(Xm/Rm)</t>
  </si>
  <si>
    <t>radian</t>
  </si>
  <si>
    <r>
      <t>=</t>
    </r>
    <r>
      <rPr>
        <sz val="10"/>
        <rFont val="Symbol"/>
        <family val="1"/>
      </rPr>
      <t>t</t>
    </r>
    <r>
      <rPr>
        <sz val="10"/>
        <rFont val="Arial"/>
        <family val="0"/>
      </rPr>
      <t>m-(</t>
    </r>
    <r>
      <rPr>
        <sz val="10"/>
        <rFont val="Symbol"/>
        <family val="1"/>
      </rPr>
      <t>p</t>
    </r>
    <r>
      <rPr>
        <sz val="10"/>
        <rFont val="Arial"/>
        <family val="0"/>
      </rPr>
      <t>/2)</t>
    </r>
  </si>
  <si>
    <t>Xc</t>
  </si>
  <si>
    <t>Reactance of capacitor</t>
  </si>
  <si>
    <t>=ATAN((Xa-Xc)/Ra)</t>
  </si>
  <si>
    <t>radian=</t>
  </si>
  <si>
    <r>
      <t>Xc=Xa-Ra*tan</t>
    </r>
    <r>
      <rPr>
        <sz val="10"/>
        <rFont val="Symbol"/>
        <family val="1"/>
      </rPr>
      <t>t</t>
    </r>
    <r>
      <rPr>
        <sz val="10"/>
        <rFont val="Arial"/>
        <family val="0"/>
      </rPr>
      <t>a</t>
    </r>
  </si>
  <si>
    <t>Capacitance,C=I/(2*3.1416*f*Xc)=</t>
  </si>
  <si>
    <t>F</t>
  </si>
  <si>
    <t>microF</t>
  </si>
  <si>
    <t>with Solutions</t>
  </si>
  <si>
    <t>Calculate the current in each phase and the power factor at the  instant of starting when</t>
  </si>
  <si>
    <t>Induction motor-Calculation of rotor resistance for reduction in speed</t>
  </si>
  <si>
    <t>Prob.3.11</t>
  </si>
  <si>
    <t>P</t>
  </si>
  <si>
    <t>Ns</t>
  </si>
  <si>
    <t>Supply frequency</t>
  </si>
  <si>
    <t>P,No. of poles</t>
  </si>
  <si>
    <t>speed=120f/P=</t>
  </si>
  <si>
    <t>=Actual speed</t>
  </si>
  <si>
    <t>=slip</t>
  </si>
  <si>
    <t>=Ns*(1-s)</t>
  </si>
  <si>
    <t>Nr'</t>
  </si>
  <si>
    <t>New speed=</t>
  </si>
  <si>
    <t>=Nr-0.1*Nr</t>
  </si>
  <si>
    <t>s'</t>
  </si>
  <si>
    <t>New slip</t>
  </si>
  <si>
    <t>=(Ns-Nr')/Ns</t>
  </si>
  <si>
    <t>=12.7%</t>
  </si>
  <si>
    <t>R and R' are the total resistances per phase in the rotor at slips s and s' respectively</t>
  </si>
  <si>
    <t>R'</t>
  </si>
  <si>
    <t>=R*s'/s</t>
  </si>
  <si>
    <t>R</t>
  </si>
  <si>
    <t>External resistance per phase=R'-R</t>
  </si>
  <si>
    <t>Prob.3.12</t>
  </si>
  <si>
    <t>Single-phase induction motor- performance</t>
  </si>
  <si>
    <t xml:space="preserve">A single-phase induction motor is rated 186.5 W ,100 v ,50 Hz, 4 poles. The equivalent </t>
  </si>
  <si>
    <t>circuit parameters are:</t>
  </si>
  <si>
    <t>R1= 2 ohms,R2'= 4 ohms,Xm= 60 ohms, X1=X2'= 2 ohms</t>
  </si>
  <si>
    <t>Rotational loss( core + friction + windage)=40 W</t>
  </si>
  <si>
    <t>Rotor is operating at rated voltage and frequency.</t>
  </si>
  <si>
    <t>slip= .05</t>
  </si>
  <si>
    <t>Find the input current and the resultant electro-magnetic torque.</t>
  </si>
  <si>
    <t>+</t>
  </si>
  <si>
    <t>-</t>
  </si>
  <si>
    <t>Xm/2</t>
  </si>
  <si>
    <t>=30 ohms</t>
  </si>
  <si>
    <t>=2 ohms</t>
  </si>
  <si>
    <t>=2 ohm</t>
  </si>
  <si>
    <t>X2'/2=1 ohm</t>
  </si>
  <si>
    <t>(R2'/2)/s=40 ohms</t>
  </si>
  <si>
    <t>X2'/2= 1 ohm</t>
  </si>
  <si>
    <t>(R2'/2)/(2-s)= 1 ohm</t>
  </si>
  <si>
    <t>Eb</t>
  </si>
  <si>
    <t>Ef</t>
  </si>
  <si>
    <t xml:space="preserve">On substituting numerical values ,we find that  the impedance across Eb is much smaller </t>
  </si>
  <si>
    <t>Thus</t>
  </si>
  <si>
    <t>0.5 Zb=.5 (j Xm[(R2'/(2-s) )+j X2']/[(R2'/(2-s))+j (Xm+ X2')]</t>
  </si>
  <si>
    <t>0.5Zb is  approx.=</t>
  </si>
  <si>
    <t>0.5((R2'/2)+j X2')</t>
  </si>
  <si>
    <t>Re (.5Zb)=.5Rb=</t>
  </si>
  <si>
    <t>R2'</t>
  </si>
  <si>
    <t>X2'</t>
  </si>
  <si>
    <t>Im(.5Zb)=.5Xb=</t>
  </si>
  <si>
    <t>.5Zf=[ jXm/2((R2'/2)/s)+jX2'/2)]/(R2'/2)/s+jXm/2+jX2'/2)</t>
  </si>
  <si>
    <t>.5Zf</t>
  </si>
  <si>
    <t>(j30(40+j1))/(40+j31)</t>
  </si>
  <si>
    <t>Re (.5Zf)</t>
  </si>
  <si>
    <t>Im(.5Zf)</t>
  </si>
  <si>
    <t>Re(j30*(40+j1)*(40-j31)/(1600+31*31)=36000/(1600+31*31)</t>
  </si>
  <si>
    <t>=48930/(1600+31*31)</t>
  </si>
  <si>
    <t>Z1=R1+j X1</t>
  </si>
  <si>
    <t>Ztotal=Z1+.5Zf+.5Zb</t>
  </si>
  <si>
    <t>ReZtotal</t>
  </si>
  <si>
    <t>=ReZ1+ReZf+ReZb</t>
  </si>
  <si>
    <t>ImZtotal</t>
  </si>
  <si>
    <t>=ImZ1+ImZf+ImZb</t>
  </si>
  <si>
    <t>Ztotal.mag</t>
  </si>
  <si>
    <t>angle Ztotal</t>
  </si>
  <si>
    <t>I</t>
  </si>
  <si>
    <t>Stator current=I=</t>
  </si>
  <si>
    <t>V1=100 V</t>
  </si>
  <si>
    <t>=V1/Ztotal.mag</t>
  </si>
  <si>
    <t>Gap powers:</t>
  </si>
  <si>
    <t>Pg+</t>
  </si>
  <si>
    <t>I*I(.5Rf)</t>
  </si>
  <si>
    <t>Pg-</t>
  </si>
  <si>
    <t>.5Rb</t>
  </si>
  <si>
    <t>=.5Rf</t>
  </si>
  <si>
    <t>.5Rf</t>
  </si>
  <si>
    <t>Poles</t>
  </si>
  <si>
    <t>ws</t>
  </si>
  <si>
    <r>
      <t>Synchronous angular speed ,ws=4*</t>
    </r>
    <r>
      <rPr>
        <sz val="10"/>
        <rFont val="Symbol"/>
        <family val="1"/>
      </rPr>
      <t>p</t>
    </r>
    <r>
      <rPr>
        <sz val="10"/>
        <rFont val="Arial"/>
        <family val="0"/>
      </rPr>
      <t>*f/P</t>
    </r>
  </si>
  <si>
    <t>The total friction,windage, and core losses may be assumed to be constant at 403 W,</t>
  </si>
  <si>
    <t>maximum and the ratio of the maximum torque to the starting torque.</t>
  </si>
  <si>
    <t xml:space="preserve"> resistance r in the rotor circuit.</t>
  </si>
  <si>
    <t xml:space="preserve">between slip-rings at standstill on open circuit, when the stator is connected to a normal </t>
  </si>
  <si>
    <t>A 12 -pole ,420 V,10 kW,50 Hz,three-phase induction motor yielded the following test</t>
  </si>
  <si>
    <t>Open-circuit test: 420V,6.7 A,500W (including 230 W mechanical loss)</t>
  </si>
  <si>
    <t>Calculate the parameters of the equivalent circuit per phase with an assumed star-</t>
  </si>
  <si>
    <t>connected stator winding , assigning the copper losses and leakage reactance volt-</t>
  </si>
  <si>
    <t xml:space="preserve">mechanical output power, input line current, power factor ,and efficiency if the machine </t>
  </si>
  <si>
    <t>operates with a  slip of .03,using the approximate equivalent circuit.</t>
  </si>
  <si>
    <t>resistance per phase, likely to result from a direct measurement.</t>
  </si>
  <si>
    <t>Solution:;</t>
  </si>
  <si>
    <t xml:space="preserve">R1=.833 ohm is the stator resistance per phase of equivalent star.For the same power </t>
  </si>
  <si>
    <t>No-load:440 V,10A,1000W,1100 RPM</t>
  </si>
  <si>
    <t>Fixed loss modified by the square of the ratio of starting voltage to the test voltage,is</t>
  </si>
  <si>
    <t>Magnetizing branch admittance=,Ym=.005-j.05 mho referred to primary side.Full-load slip =</t>
  </si>
  <si>
    <t xml:space="preserve">approximate &amp; exact equivalent circuits.The effective stator/rotor turns ratio per phase is </t>
  </si>
  <si>
    <t>ReI2'=V1*ReZ/(ReZ*ReZ+ImZ*ImZ))=</t>
  </si>
  <si>
    <t xml:space="preserve"> across each impedance is proportional to the impedance moduli i.e.,</t>
  </si>
  <si>
    <t>(ii) If the frequency of the source in Part(I) is 50 Hz, and the machine has four poles</t>
  </si>
  <si>
    <t>Output power =Developed power- core-friction -wndage-stray load losses =</t>
  </si>
  <si>
    <t>rpm</t>
  </si>
  <si>
    <t xml:space="preserve">A .746 kW 120 V 60 Hz capacitor start motor has the following constants for the main and </t>
  </si>
  <si>
    <t>A 4-pole ,50 Hz, 3-phase slip ring induction motor when fully loaded runs with a  slip of 3 %.</t>
  </si>
  <si>
    <t xml:space="preserve">Calculate the value of the resistance necessary to reduce the speed by 10 %.Each rotor </t>
  </si>
  <si>
    <t xml:space="preserve"> than that across Ef.Therefore ,great accuracy is not required in its calculation</t>
  </si>
  <si>
    <t>Resultant torque=(Pg+ - Pg-)/ws</t>
  </si>
  <si>
    <t>CHAPTER3</t>
  </si>
  <si>
    <t>Induction motor performance</t>
  </si>
  <si>
    <t>Prob.3.13</t>
  </si>
  <si>
    <t>Induction motor-single-phase ,capacitor start</t>
  </si>
  <si>
    <t xml:space="preserve">A 4-pole 400 V 3-phase,50 Hz induction motor runs at 1440 RPM at .88 pf lagging and </t>
  </si>
  <si>
    <t>(I) slip</t>
  </si>
  <si>
    <t>(ii)rotor cu loss</t>
  </si>
  <si>
    <t>(iii) rotor frequency</t>
  </si>
  <si>
    <t>(iv)line current</t>
  </si>
  <si>
    <t>(v) efficiency</t>
  </si>
  <si>
    <t>Motor output</t>
  </si>
  <si>
    <t>Friction &amp; windage</t>
  </si>
  <si>
    <t>Stator Cu loss</t>
  </si>
  <si>
    <t>Rotor input= rotor cu loss/slip</t>
  </si>
  <si>
    <t>Rotor input=rotor cu loss/slip=</t>
  </si>
  <si>
    <t>Motor input = rotor input+stator loss=</t>
  </si>
  <si>
    <r>
      <t>Cos</t>
    </r>
    <r>
      <rPr>
        <sz val="10"/>
        <rFont val="Symbol"/>
        <family val="1"/>
      </rPr>
      <t xml:space="preserve"> f</t>
    </r>
  </si>
  <si>
    <t>Efficiency=Out/in=</t>
  </si>
  <si>
    <t>=85%</t>
  </si>
  <si>
    <t>Rotor emf frequency=s*f=</t>
  </si>
  <si>
    <r>
      <t>Line Current=Motor input/(1.73 V*Cos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)=</t>
    </r>
  </si>
  <si>
    <t>Induction Motor- Maximum torque &amp; starting current</t>
  </si>
  <si>
    <t>Prob.3.14</t>
  </si>
  <si>
    <t>A 3-phase 6 pole 50 Hz induction motor has a peak torque of 6 Nm and a starting torque of</t>
  </si>
  <si>
    <t>Induction Motor -Maximum torque &amp; starting current with normal &amp; reduced voltages</t>
  </si>
  <si>
    <t xml:space="preserve">withn normal &amp; reduced voltages </t>
  </si>
  <si>
    <t>(a) Find the mechanical power at peak torque when operating at normal voltage</t>
  </si>
  <si>
    <t>(b)Find the maximum torque at 1/3 rd of normal voltage</t>
  </si>
  <si>
    <t>(c)Find the starting current with 1/3 rd of normal voltage</t>
  </si>
  <si>
    <t xml:space="preserve">(d) Find the extra rotor circuit resistance as a percentage to give maximum torque at </t>
  </si>
  <si>
    <t>resistance?</t>
  </si>
  <si>
    <t>P, No. of poles</t>
  </si>
  <si>
    <t>Rotor cu loss= rotor input-motor output-friction &amp; wndage</t>
  </si>
  <si>
    <t>Rotor cu loss= (-motor output-friction &amp; wndage)*(s/(s-1))</t>
  </si>
  <si>
    <t>Te</t>
  </si>
  <si>
    <t>6 Nm</t>
  </si>
  <si>
    <t>3 Nm</t>
  </si>
  <si>
    <t>V1</t>
  </si>
  <si>
    <t>V1/3</t>
  </si>
  <si>
    <t>.75 ws</t>
  </si>
  <si>
    <t xml:space="preserve">Te </t>
  </si>
  <si>
    <t>Max.Torque</t>
  </si>
  <si>
    <r>
      <t xml:space="preserve">(a) Power at max torque= wmTe= 2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nr Te =2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ns (1-s) Te=2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f(1-s)Te/p=</t>
    </r>
  </si>
  <si>
    <t>(b)Torque is proportional to V*V</t>
  </si>
  <si>
    <t>n</t>
  </si>
  <si>
    <t>Here</t>
  </si>
  <si>
    <t>Reduced max.torque=</t>
  </si>
  <si>
    <t>Therefore reduced max. torque at( I/n ) of V=  Te/(n*n)</t>
  </si>
  <si>
    <t>(c) I is proportional o V</t>
  </si>
  <si>
    <t>=2*(n)</t>
  </si>
  <si>
    <t>(d)A given torque requires a particular value of R2'/s. Since s changes from .25 to 1, then</t>
  </si>
  <si>
    <t xml:space="preserve"> the total circuit resistance must change in the same ratio ie by 4 times.</t>
  </si>
  <si>
    <t>Hence extra rotor resistance = 300% R2'</t>
  </si>
  <si>
    <t xml:space="preserve">Since R2'/s is constant and since this is the only equivalent circuit impedance which could </t>
  </si>
  <si>
    <t>vary with speed , the total impedance presented to the terminals is unchanged.</t>
  </si>
  <si>
    <t>So the current is the same as at s = .25 pu</t>
  </si>
  <si>
    <t>Prob.3.15</t>
  </si>
  <si>
    <t>Induction motor in parallel with synchronous motor</t>
  </si>
  <si>
    <t>Induction Motor in parallel with Synchronous  Motor</t>
  </si>
  <si>
    <t>A 3- phase induction motor and a 3-phase star-connected synchronous motor are both</t>
  </si>
  <si>
    <t>the synchronous motor.</t>
  </si>
  <si>
    <t xml:space="preserve">emf of 1732 kV (L-L). Find the power factor of each motor and draw the phasor diagram of </t>
  </si>
  <si>
    <t xml:space="preserve">has negligible resistance ,a synchronous reactance of 2 ohms per phase  and an induced </t>
  </si>
  <si>
    <t xml:space="preserve">motors being unity and each  motor taking an input of 540 kW.The synchronous motor has </t>
  </si>
  <si>
    <t>operating off a common 3-phase 1039 V (L-L) supply, the combined power factor of the two</t>
  </si>
  <si>
    <t>Synchronous motor</t>
  </si>
  <si>
    <t>Power/ph =</t>
  </si>
  <si>
    <t>per ph=</t>
  </si>
  <si>
    <r>
      <t xml:space="preserve">Icos(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)</t>
    </r>
  </si>
  <si>
    <t>=P/V=</t>
  </si>
  <si>
    <t>E</t>
  </si>
  <si>
    <r>
      <t>E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 xml:space="preserve"> .j X</t>
    </r>
  </si>
  <si>
    <t>Since the overall pf is unity, the current taken by the synchronous motor must be leading.</t>
  </si>
  <si>
    <r>
      <t>Ecos (</t>
    </r>
    <r>
      <rPr>
        <sz val="10"/>
        <rFont val="Symbol"/>
        <family val="1"/>
      </rPr>
      <t>d</t>
    </r>
    <r>
      <rPr>
        <sz val="10"/>
        <rFont val="Arial"/>
        <family val="0"/>
      </rPr>
      <t>) -j Esin(</t>
    </r>
    <r>
      <rPr>
        <sz val="10"/>
        <rFont val="Symbol"/>
        <family val="1"/>
      </rPr>
      <t>d</t>
    </r>
    <r>
      <rPr>
        <sz val="10"/>
        <rFont val="Arial"/>
        <family val="0"/>
      </rPr>
      <t>)= V -j Icos(</t>
    </r>
    <r>
      <rPr>
        <sz val="10"/>
        <rFont val="Symbol"/>
        <family val="1"/>
      </rPr>
      <t>f</t>
    </r>
    <r>
      <rPr>
        <sz val="10"/>
        <rFont val="Arial"/>
        <family val="0"/>
      </rPr>
      <t>) .X-I Sin (</t>
    </r>
    <r>
      <rPr>
        <sz val="10"/>
        <rFont val="Symbol"/>
        <family val="1"/>
      </rPr>
      <t>f</t>
    </r>
    <r>
      <rPr>
        <sz val="10"/>
        <rFont val="Arial"/>
        <family val="0"/>
      </rPr>
      <t>). X</t>
    </r>
  </si>
  <si>
    <r>
      <t>Ecos (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) </t>
    </r>
    <r>
      <rPr>
        <sz val="10"/>
        <rFont val="Arial"/>
        <family val="0"/>
      </rPr>
      <t xml:space="preserve">= V </t>
    </r>
    <r>
      <rPr>
        <sz val="10"/>
        <rFont val="Arial"/>
        <family val="0"/>
      </rPr>
      <t>-I Sin (</t>
    </r>
    <r>
      <rPr>
        <sz val="10"/>
        <rFont val="Symbol"/>
        <family val="1"/>
      </rPr>
      <t>f</t>
    </r>
    <r>
      <rPr>
        <sz val="10"/>
        <rFont val="Arial"/>
        <family val="0"/>
      </rPr>
      <t>). X</t>
    </r>
  </si>
  <si>
    <r>
      <t>Esin(</t>
    </r>
    <r>
      <rPr>
        <sz val="10"/>
        <rFont val="Symbol"/>
        <family val="1"/>
      </rPr>
      <t>d</t>
    </r>
    <r>
      <rPr>
        <sz val="10"/>
        <rFont val="Arial"/>
        <family val="0"/>
      </rPr>
      <t>)= Icos(</t>
    </r>
    <r>
      <rPr>
        <sz val="10"/>
        <rFont val="Symbol"/>
        <family val="1"/>
      </rPr>
      <t>f</t>
    </r>
    <r>
      <rPr>
        <sz val="10"/>
        <rFont val="Arial"/>
        <family val="0"/>
      </rPr>
      <t>) .X</t>
    </r>
  </si>
  <si>
    <r>
      <t xml:space="preserve"> Sin(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</si>
  <si>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X</t>
  </si>
  <si>
    <r>
      <t xml:space="preserve">= I Cos (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)* X/E</t>
    </r>
  </si>
  <si>
    <r>
      <t>Cos (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) </t>
    </r>
  </si>
  <si>
    <r>
      <t xml:space="preserve">=SQRT(1-SIN(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)*SIN(</t>
    </r>
    <r>
      <rPr>
        <sz val="10"/>
        <rFont val="Symbol"/>
        <family val="1"/>
      </rPr>
      <t>d</t>
    </r>
    <r>
      <rPr>
        <sz val="10"/>
        <rFont val="Arial"/>
        <family val="0"/>
      </rPr>
      <t>))</t>
    </r>
  </si>
  <si>
    <r>
      <t>Isin(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</si>
  <si>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= (V- Ecos(</t>
    </r>
    <r>
      <rPr>
        <sz val="10"/>
        <rFont val="Symbol"/>
        <family val="1"/>
      </rPr>
      <t>d</t>
    </r>
    <r>
      <rPr>
        <sz val="10"/>
        <rFont val="Arial"/>
        <family val="0"/>
      </rPr>
      <t>))/X</t>
    </r>
  </si>
  <si>
    <r>
      <t>I Cos (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) </t>
    </r>
  </si>
  <si>
    <r>
      <t xml:space="preserve"> Cos (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) </t>
    </r>
  </si>
  <si>
    <t>Power diagram:</t>
  </si>
  <si>
    <t>Qi</t>
  </si>
  <si>
    <t>Qs</t>
  </si>
  <si>
    <t>Pi= 540 kW</t>
  </si>
  <si>
    <t>Ps= 540 kw</t>
  </si>
  <si>
    <t>Since the overall pf is unity, the induction motor pf must be the same , but lagging.</t>
  </si>
  <si>
    <t>Induction motor-Performance using exact &amp; approximate eq.circuits</t>
  </si>
  <si>
    <t xml:space="preserve">The full load speed of a 4-pole 50 Hz 3-phase squirrel -cage motor is 1440 RPM. The ratio </t>
  </si>
  <si>
    <t>of starting current to full-load current is 5.Calculate the starting torque to full-load torque ,in</t>
  </si>
  <si>
    <t>the following methods of starting;</t>
  </si>
  <si>
    <t>currents in quadrature at starting</t>
  </si>
  <si>
    <t xml:space="preserve">Istarting at normal voltage = I starting at reduced  voltage*normal voltage/ fraction of </t>
  </si>
  <si>
    <t>reduced voltage</t>
  </si>
  <si>
    <t>Supply volt/phase=V1</t>
  </si>
  <si>
    <t xml:space="preserve">    wm</t>
  </si>
  <si>
    <t>4R2</t>
  </si>
  <si>
    <t>the following constants referred to the stator:</t>
  </si>
  <si>
    <r>
      <t>X</t>
    </r>
    <r>
      <rPr>
        <sz val="10"/>
        <color indexed="61"/>
        <rFont val="Symbol"/>
        <family val="1"/>
      </rPr>
      <t>f</t>
    </r>
    <r>
      <rPr>
        <sz val="10"/>
        <color indexed="61"/>
        <rFont val="Arial"/>
        <family val="2"/>
      </rPr>
      <t>= 13.25 ohms</t>
    </r>
  </si>
  <si>
    <t>independent of load.Compute the speed,output torque and power,stator current,</t>
  </si>
  <si>
    <t>with slip of 2 %.</t>
  </si>
  <si>
    <t>The rotor of a 3-phase induction motor is star-connected and has an induced emf of 50 V</t>
  </si>
  <si>
    <t>voltage supply.The impedance of the rotor at standstill is (0.5 + j3.5) ohms per phase.</t>
  </si>
  <si>
    <t>auxiliary windings(at starting):</t>
  </si>
  <si>
    <t xml:space="preserve">Find the value of starting capacitance that will place the main and auxiliary winding </t>
  </si>
  <si>
    <t>phase has a resistance of 0.2 ohm.</t>
  </si>
  <si>
    <t>delivers 10.817 kW. The stator loss is 1060 W, and friction &amp; windage losses are 375 W.</t>
  </si>
  <si>
    <t>at 1/3 rd of normal voltage the current is 2 A.</t>
  </si>
  <si>
    <t xml:space="preserve">starting. What would then be the current in terms of that at peak torque without external </t>
  </si>
  <si>
    <t>3 Nm when operating at full voltage. Maximum torque occurs at a slip of 25%.When started</t>
  </si>
  <si>
    <t>.667 Nm</t>
  </si>
  <si>
    <r>
      <t>=E Sin (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) /X</t>
    </r>
  </si>
  <si>
    <t>Pi, Qi refer to the induction motor  and Ps ,Qs refer to the synchronous motor.</t>
  </si>
  <si>
    <t>WEBSITE</t>
  </si>
  <si>
    <t>takes you to the start page after you have read this Chapter.</t>
  </si>
  <si>
    <t>Start page has links to other Chapters.</t>
  </si>
  <si>
    <t>Induction motor driven as a generator</t>
  </si>
  <si>
    <t>Prob.3.16</t>
  </si>
  <si>
    <r>
      <t>Induction motor driven as  a generato</t>
    </r>
    <r>
      <rPr>
        <sz val="10"/>
        <rFont val="Arial"/>
        <family val="0"/>
      </rPr>
      <t>r</t>
    </r>
  </si>
  <si>
    <t xml:space="preserve">The following data refer to a 415 V, 50 Hz 3-phase delta-connected 6-pole </t>
  </si>
  <si>
    <t>induction machine.</t>
  </si>
  <si>
    <t>stator leakage impedance = 0.7+ j1.9   ohms/phase</t>
  </si>
  <si>
    <t>rotor standstill leakage impedance (referred to stator) = 0.6 +j1.9 ohms/phase</t>
  </si>
  <si>
    <t>no-load current = 1.7+ j 6.6 A/line.</t>
  </si>
  <si>
    <t>Determine,</t>
  </si>
  <si>
    <t>1.04 times synchronous speed.</t>
  </si>
  <si>
    <t xml:space="preserve">(i) the curent, power factor and mechanical power output when running as a motor </t>
  </si>
  <si>
    <t>at a slip of 0.04.</t>
  </si>
  <si>
    <t xml:space="preserve">(ii) the power output and power factor when driven as  a genertaor at a speed of </t>
  </si>
  <si>
    <t>(iii) the initial breaking torque when, with the motor running at a slip of 0.04 ,</t>
  </si>
  <si>
    <t xml:space="preserve"> two of the stator line connections are suddenly interchanged.</t>
  </si>
  <si>
    <t>r1</t>
  </si>
  <si>
    <t>x1</t>
  </si>
  <si>
    <t>x2'</t>
  </si>
  <si>
    <t>I0</t>
  </si>
  <si>
    <t>rm</t>
  </si>
  <si>
    <t>xm</t>
  </si>
  <si>
    <t>r2'/s</t>
  </si>
  <si>
    <t xml:space="preserve">r1= </t>
  </si>
  <si>
    <t>x1=</t>
  </si>
  <si>
    <t>r2'=</t>
  </si>
  <si>
    <t>x2'=</t>
  </si>
  <si>
    <t>Io=</t>
  </si>
  <si>
    <t>1.7+j6.6</t>
  </si>
  <si>
    <t>Part (i)</t>
  </si>
  <si>
    <t>s=</t>
  </si>
  <si>
    <t>r2'/s=</t>
  </si>
  <si>
    <t>I2'= V/(r1+jx1+r2'/s +jx2')</t>
  </si>
  <si>
    <t>V=</t>
  </si>
  <si>
    <t>r1+jx1=</t>
  </si>
  <si>
    <t>r2'/s +jx2'=</t>
  </si>
  <si>
    <t>I2'mag</t>
  </si>
  <si>
    <t>A/ph</t>
  </si>
  <si>
    <t>Since no-load current is given as line value,</t>
  </si>
  <si>
    <t>Io=(1.7-j6.6)/sqrt(3)=</t>
  </si>
  <si>
    <t>I1=I2' + I0</t>
  </si>
  <si>
    <t>I1mag=</t>
  </si>
  <si>
    <t>pf=</t>
  </si>
  <si>
    <t>Total output=3 I2'sq r2 (1-s)/s=</t>
  </si>
  <si>
    <t>Part(ii)</t>
  </si>
  <si>
    <t>slip =</t>
  </si>
  <si>
    <t>ohms/ph</t>
  </si>
  <si>
    <t>I1=Io+I2'</t>
  </si>
  <si>
    <t>(A/phase)=</t>
  </si>
  <si>
    <t>Power delivered=3VI1 cosphi</t>
  </si>
  <si>
    <t>Part (iii)</t>
  </si>
  <si>
    <t>Direction of field is reversed,so slip=2-s=</t>
  </si>
  <si>
    <t>I2'=</t>
  </si>
  <si>
    <t>I2' mag</t>
  </si>
  <si>
    <t>Torque=rotor input/w=3*I2'*I2"*r2'/s/</t>
  </si>
  <si>
    <t>Two-phase servo motor</t>
  </si>
  <si>
    <t>Prob.3.17</t>
  </si>
  <si>
    <t>Two phase servo motor</t>
  </si>
  <si>
    <t xml:space="preserve"> A two-phase servo motor  has similar windings rated at 110 V.</t>
  </si>
  <si>
    <t xml:space="preserve">The motor inertia is 1.8 x 10^ -6 kg.m.sq and the friction torque is </t>
  </si>
  <si>
    <t xml:space="preserve">70 x 10 ^ -6  Nm s /rad. The torque /speed  curve  at full control voltage </t>
  </si>
  <si>
    <t xml:space="preserve">is assumed to be a straight line falling from a standstill torque of 0.05 Nm </t>
  </si>
  <si>
    <t>to zero  at 400 rpm. Determine the transfer fuction of the motor</t>
  </si>
  <si>
    <t xml:space="preserve"> expressed in the s-domain.</t>
  </si>
  <si>
    <t xml:space="preserve">          M </t>
  </si>
  <si>
    <t>B</t>
  </si>
  <si>
    <t xml:space="preserve">             ω</t>
  </si>
  <si>
    <t>V21 = V1</t>
  </si>
  <si>
    <t>V22</t>
  </si>
  <si>
    <t xml:space="preserve">   V23 </t>
  </si>
  <si>
    <t xml:space="preserve">           M</t>
  </si>
  <si>
    <t>Fig.</t>
  </si>
  <si>
    <t>Speed-torque curves for 2-phase servomotor</t>
  </si>
  <si>
    <t>Torque-speed corve as in Fig.(b):</t>
  </si>
  <si>
    <t>Me =KV2 - mdθ/dt  ( m= slope of curve)</t>
  </si>
  <si>
    <t>Mechanical torque Mm =J d^2.θ/dt^2  + fdθ/dt</t>
  </si>
  <si>
    <t>Equating and transferring  to s domain,</t>
  </si>
  <si>
    <t xml:space="preserve">KV2(s) -msθ(s) = Js^2 θ(s)  +f s θ(s) </t>
  </si>
  <si>
    <t xml:space="preserve">Transfer function= </t>
  </si>
  <si>
    <t>θ(s) /V2(s)    = K/(ms+Js^2 +fs)  = K/([s(f+m)+Js^2</t>
  </si>
  <si>
    <t xml:space="preserve"> (K/(f+ m))[ 1/(s(1 +(J/(f+m))s]</t>
  </si>
  <si>
    <t xml:space="preserve">K= .05/110= </t>
  </si>
  <si>
    <t>Nm/V</t>
  </si>
  <si>
    <t>w0 at zero torque =4000*2*PI/60=</t>
  </si>
  <si>
    <t>m= M0/w0 =0.05/w0=</t>
  </si>
  <si>
    <t>Nm s/rad</t>
  </si>
  <si>
    <t xml:space="preserve">f= </t>
  </si>
  <si>
    <t>K/(f+m)=</t>
  </si>
  <si>
    <t>f+m=</t>
  </si>
  <si>
    <t>Transfer function=  2.4s( 1+ 1.8*.000001s/.000189)</t>
  </si>
  <si>
    <t>2.4/s(1+.0095s)</t>
  </si>
  <si>
    <t>.0000018/.000189=</t>
  </si>
  <si>
    <t xml:space="preserve"> θ(s) /V(s)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</si>
</sst>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* #,##0.000_);_(* \(#,##0.000\);_(* &quot;-&quot;??_);_(@_)"/>
    <numFmt numFmtId="171" formatCode="_(* #,##0.000_);_(* \(#,##0.000\);_(* &quot;-&quot;?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00_);_(* \(#,##0.0000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0.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0"/>
      <color indexed="61"/>
      <name val="Arial"/>
      <family val="2"/>
    </font>
    <font>
      <sz val="8"/>
      <name val="Arial"/>
      <family val="2"/>
    </font>
    <font>
      <sz val="10"/>
      <color indexed="61"/>
      <name val="Symbol"/>
      <family val="1"/>
    </font>
    <font>
      <sz val="10"/>
      <name val="System"/>
      <family val="2"/>
    </font>
    <font>
      <i/>
      <sz val="12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0" fillId="0" borderId="10" xfId="53" applyFont="1" applyBorder="1" applyAlignment="1" applyProtection="1">
      <alignment/>
      <protection/>
    </xf>
    <xf numFmtId="0" fontId="1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53" applyAlignment="1" applyProtection="1">
      <alignment/>
      <protection/>
    </xf>
    <xf numFmtId="0" fontId="8" fillId="0" borderId="0" xfId="53" applyAlignment="1" applyProtection="1">
      <alignment horizontal="center"/>
      <protection/>
    </xf>
    <xf numFmtId="2" fontId="8" fillId="0" borderId="0" xfId="53" applyNumberFormat="1" applyAlignment="1" applyProtection="1">
      <alignment horizontal="center"/>
      <protection/>
    </xf>
    <xf numFmtId="0" fontId="11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42</xdr:row>
      <xdr:rowOff>95250</xdr:rowOff>
    </xdr:from>
    <xdr:to>
      <xdr:col>2</xdr:col>
      <xdr:colOff>238125</xdr:colOff>
      <xdr:row>42</xdr:row>
      <xdr:rowOff>152400</xdr:rowOff>
    </xdr:to>
    <xdr:sp>
      <xdr:nvSpPr>
        <xdr:cNvPr id="1" name="Arc 3"/>
        <xdr:cNvSpPr>
          <a:spLocks/>
        </xdr:cNvSpPr>
      </xdr:nvSpPr>
      <xdr:spPr>
        <a:xfrm flipH="1">
          <a:off x="1362075" y="7258050"/>
          <a:ext cx="95250" cy="57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42</xdr:row>
      <xdr:rowOff>104775</xdr:rowOff>
    </xdr:from>
    <xdr:to>
      <xdr:col>2</xdr:col>
      <xdr:colOff>285750</xdr:colOff>
      <xdr:row>42</xdr:row>
      <xdr:rowOff>152400</xdr:rowOff>
    </xdr:to>
    <xdr:sp>
      <xdr:nvSpPr>
        <xdr:cNvPr id="2" name="Arc 4"/>
        <xdr:cNvSpPr>
          <a:spLocks/>
        </xdr:cNvSpPr>
      </xdr:nvSpPr>
      <xdr:spPr>
        <a:xfrm>
          <a:off x="1457325" y="7267575"/>
          <a:ext cx="47625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42</xdr:row>
      <xdr:rowOff>95250</xdr:rowOff>
    </xdr:from>
    <xdr:to>
      <xdr:col>2</xdr:col>
      <xdr:colOff>381000</xdr:colOff>
      <xdr:row>43</xdr:row>
      <xdr:rowOff>0</xdr:rowOff>
    </xdr:to>
    <xdr:sp>
      <xdr:nvSpPr>
        <xdr:cNvPr id="3" name="Arc 5"/>
        <xdr:cNvSpPr>
          <a:spLocks/>
        </xdr:cNvSpPr>
      </xdr:nvSpPr>
      <xdr:spPr>
        <a:xfrm flipH="1">
          <a:off x="1514475" y="7258050"/>
          <a:ext cx="8572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42</xdr:row>
      <xdr:rowOff>152400</xdr:rowOff>
    </xdr:from>
    <xdr:to>
      <xdr:col>3</xdr:col>
      <xdr:colOff>47625</xdr:colOff>
      <xdr:row>42</xdr:row>
      <xdr:rowOff>152400</xdr:rowOff>
    </xdr:to>
    <xdr:sp>
      <xdr:nvSpPr>
        <xdr:cNvPr id="4" name="Line 7"/>
        <xdr:cNvSpPr>
          <a:spLocks/>
        </xdr:cNvSpPr>
      </xdr:nvSpPr>
      <xdr:spPr>
        <a:xfrm>
          <a:off x="1676400" y="7315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42</xdr:row>
      <xdr:rowOff>85725</xdr:rowOff>
    </xdr:from>
    <xdr:to>
      <xdr:col>3</xdr:col>
      <xdr:colOff>95250</xdr:colOff>
      <xdr:row>43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1876425" y="724852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42</xdr:row>
      <xdr:rowOff>95250</xdr:rowOff>
    </xdr:from>
    <xdr:to>
      <xdr:col>3</xdr:col>
      <xdr:colOff>152400</xdr:colOff>
      <xdr:row>43</xdr:row>
      <xdr:rowOff>0</xdr:rowOff>
    </xdr:to>
    <xdr:sp>
      <xdr:nvSpPr>
        <xdr:cNvPr id="6" name="Line 9"/>
        <xdr:cNvSpPr>
          <a:spLocks/>
        </xdr:cNvSpPr>
      </xdr:nvSpPr>
      <xdr:spPr>
        <a:xfrm>
          <a:off x="1924050" y="72580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42</xdr:row>
      <xdr:rowOff>95250</xdr:rowOff>
    </xdr:from>
    <xdr:to>
      <xdr:col>3</xdr:col>
      <xdr:colOff>228600</xdr:colOff>
      <xdr:row>43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990725" y="72580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42</xdr:row>
      <xdr:rowOff>95250</xdr:rowOff>
    </xdr:from>
    <xdr:to>
      <xdr:col>3</xdr:col>
      <xdr:colOff>304800</xdr:colOff>
      <xdr:row>43</xdr:row>
      <xdr:rowOff>0</xdr:rowOff>
    </xdr:to>
    <xdr:sp>
      <xdr:nvSpPr>
        <xdr:cNvPr id="8" name="Line 11"/>
        <xdr:cNvSpPr>
          <a:spLocks/>
        </xdr:cNvSpPr>
      </xdr:nvSpPr>
      <xdr:spPr>
        <a:xfrm>
          <a:off x="2047875" y="725805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43</xdr:row>
      <xdr:rowOff>0</xdr:rowOff>
    </xdr:from>
    <xdr:to>
      <xdr:col>4</xdr:col>
      <xdr:colOff>152400</xdr:colOff>
      <xdr:row>43</xdr:row>
      <xdr:rowOff>0</xdr:rowOff>
    </xdr:to>
    <xdr:sp>
      <xdr:nvSpPr>
        <xdr:cNvPr id="9" name="Line 12"/>
        <xdr:cNvSpPr>
          <a:spLocks/>
        </xdr:cNvSpPr>
      </xdr:nvSpPr>
      <xdr:spPr>
        <a:xfrm>
          <a:off x="2133600" y="7324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42</xdr:row>
      <xdr:rowOff>95250</xdr:rowOff>
    </xdr:from>
    <xdr:to>
      <xdr:col>4</xdr:col>
      <xdr:colOff>238125</xdr:colOff>
      <xdr:row>42</xdr:row>
      <xdr:rowOff>152400</xdr:rowOff>
    </xdr:to>
    <xdr:sp>
      <xdr:nvSpPr>
        <xdr:cNvPr id="10" name="Arc 13"/>
        <xdr:cNvSpPr>
          <a:spLocks/>
        </xdr:cNvSpPr>
      </xdr:nvSpPr>
      <xdr:spPr>
        <a:xfrm flipH="1">
          <a:off x="2419350" y="7258050"/>
          <a:ext cx="95250" cy="57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42</xdr:row>
      <xdr:rowOff>95250</xdr:rowOff>
    </xdr:from>
    <xdr:to>
      <xdr:col>4</xdr:col>
      <xdr:colOff>381000</xdr:colOff>
      <xdr:row>43</xdr:row>
      <xdr:rowOff>0</xdr:rowOff>
    </xdr:to>
    <xdr:sp>
      <xdr:nvSpPr>
        <xdr:cNvPr id="11" name="Arc 15"/>
        <xdr:cNvSpPr>
          <a:spLocks/>
        </xdr:cNvSpPr>
      </xdr:nvSpPr>
      <xdr:spPr>
        <a:xfrm flipH="1">
          <a:off x="2571750" y="7258050"/>
          <a:ext cx="8572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42</xdr:row>
      <xdr:rowOff>95250</xdr:rowOff>
    </xdr:from>
    <xdr:to>
      <xdr:col>4</xdr:col>
      <xdr:colOff>285750</xdr:colOff>
      <xdr:row>42</xdr:row>
      <xdr:rowOff>142875</xdr:rowOff>
    </xdr:to>
    <xdr:sp>
      <xdr:nvSpPr>
        <xdr:cNvPr id="12" name="Arc 16"/>
        <xdr:cNvSpPr>
          <a:spLocks/>
        </xdr:cNvSpPr>
      </xdr:nvSpPr>
      <xdr:spPr>
        <a:xfrm>
          <a:off x="2514600" y="7258050"/>
          <a:ext cx="47625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42</xdr:row>
      <xdr:rowOff>95250</xdr:rowOff>
    </xdr:from>
    <xdr:to>
      <xdr:col>2</xdr:col>
      <xdr:colOff>447675</xdr:colOff>
      <xdr:row>42</xdr:row>
      <xdr:rowOff>152400</xdr:rowOff>
    </xdr:to>
    <xdr:sp>
      <xdr:nvSpPr>
        <xdr:cNvPr id="13" name="Arc 17"/>
        <xdr:cNvSpPr>
          <a:spLocks/>
        </xdr:cNvSpPr>
      </xdr:nvSpPr>
      <xdr:spPr>
        <a:xfrm>
          <a:off x="1619250" y="7258050"/>
          <a:ext cx="47625" cy="57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42</xdr:row>
      <xdr:rowOff>85725</xdr:rowOff>
    </xdr:from>
    <xdr:to>
      <xdr:col>4</xdr:col>
      <xdr:colOff>438150</xdr:colOff>
      <xdr:row>42</xdr:row>
      <xdr:rowOff>142875</xdr:rowOff>
    </xdr:to>
    <xdr:sp>
      <xdr:nvSpPr>
        <xdr:cNvPr id="14" name="Arc 18"/>
        <xdr:cNvSpPr>
          <a:spLocks/>
        </xdr:cNvSpPr>
      </xdr:nvSpPr>
      <xdr:spPr>
        <a:xfrm>
          <a:off x="2667000" y="7248525"/>
          <a:ext cx="47625" cy="57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43</xdr:row>
      <xdr:rowOff>0</xdr:rowOff>
    </xdr:from>
    <xdr:to>
      <xdr:col>5</xdr:col>
      <xdr:colOff>276225</xdr:colOff>
      <xdr:row>43</xdr:row>
      <xdr:rowOff>0</xdr:rowOff>
    </xdr:to>
    <xdr:sp>
      <xdr:nvSpPr>
        <xdr:cNvPr id="15" name="Line 19"/>
        <xdr:cNvSpPr>
          <a:spLocks/>
        </xdr:cNvSpPr>
      </xdr:nvSpPr>
      <xdr:spPr>
        <a:xfrm>
          <a:off x="2724150" y="7324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2</xdr:col>
      <xdr:colOff>142875</xdr:colOff>
      <xdr:row>43</xdr:row>
      <xdr:rowOff>0</xdr:rowOff>
    </xdr:to>
    <xdr:sp>
      <xdr:nvSpPr>
        <xdr:cNvPr id="16" name="Line 20"/>
        <xdr:cNvSpPr>
          <a:spLocks/>
        </xdr:cNvSpPr>
      </xdr:nvSpPr>
      <xdr:spPr>
        <a:xfrm>
          <a:off x="1114425" y="73247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9525</xdr:rowOff>
    </xdr:from>
    <xdr:to>
      <xdr:col>4</xdr:col>
      <xdr:colOff>0</xdr:colOff>
      <xdr:row>44</xdr:row>
      <xdr:rowOff>142875</xdr:rowOff>
    </xdr:to>
    <xdr:sp>
      <xdr:nvSpPr>
        <xdr:cNvPr id="17" name="Line 22"/>
        <xdr:cNvSpPr>
          <a:spLocks/>
        </xdr:cNvSpPr>
      </xdr:nvSpPr>
      <xdr:spPr>
        <a:xfrm>
          <a:off x="2276475" y="7334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43</xdr:row>
      <xdr:rowOff>9525</xdr:rowOff>
    </xdr:from>
    <xdr:to>
      <xdr:col>5</xdr:col>
      <xdr:colOff>266700</xdr:colOff>
      <xdr:row>44</xdr:row>
      <xdr:rowOff>142875</xdr:rowOff>
    </xdr:to>
    <xdr:sp>
      <xdr:nvSpPr>
        <xdr:cNvPr id="18" name="Line 23"/>
        <xdr:cNvSpPr>
          <a:spLocks/>
        </xdr:cNvSpPr>
      </xdr:nvSpPr>
      <xdr:spPr>
        <a:xfrm>
          <a:off x="3152775" y="7334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44</xdr:row>
      <xdr:rowOff>142875</xdr:rowOff>
    </xdr:from>
    <xdr:to>
      <xdr:col>4</xdr:col>
      <xdr:colOff>0</xdr:colOff>
      <xdr:row>45</xdr:row>
      <xdr:rowOff>66675</xdr:rowOff>
    </xdr:to>
    <xdr:sp>
      <xdr:nvSpPr>
        <xdr:cNvPr id="19" name="Arc 24"/>
        <xdr:cNvSpPr>
          <a:spLocks/>
        </xdr:cNvSpPr>
      </xdr:nvSpPr>
      <xdr:spPr>
        <a:xfrm flipH="1">
          <a:off x="2276475" y="7629525"/>
          <a:ext cx="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45</xdr:row>
      <xdr:rowOff>57150</xdr:rowOff>
    </xdr:from>
    <xdr:to>
      <xdr:col>4</xdr:col>
      <xdr:colOff>9525</xdr:colOff>
      <xdr:row>45</xdr:row>
      <xdr:rowOff>123825</xdr:rowOff>
    </xdr:to>
    <xdr:sp>
      <xdr:nvSpPr>
        <xdr:cNvPr id="20" name="Arc 25"/>
        <xdr:cNvSpPr>
          <a:spLocks/>
        </xdr:cNvSpPr>
      </xdr:nvSpPr>
      <xdr:spPr>
        <a:xfrm flipH="1" flipV="1">
          <a:off x="2276475" y="7705725"/>
          <a:ext cx="952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45</xdr:row>
      <xdr:rowOff>133350</xdr:rowOff>
    </xdr:from>
    <xdr:to>
      <xdr:col>4</xdr:col>
      <xdr:colOff>28575</xdr:colOff>
      <xdr:row>46</xdr:row>
      <xdr:rowOff>38100</xdr:rowOff>
    </xdr:to>
    <xdr:sp>
      <xdr:nvSpPr>
        <xdr:cNvPr id="21" name="Arc 26"/>
        <xdr:cNvSpPr>
          <a:spLocks/>
        </xdr:cNvSpPr>
      </xdr:nvSpPr>
      <xdr:spPr>
        <a:xfrm flipH="1">
          <a:off x="2276475" y="7781925"/>
          <a:ext cx="2857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19050</xdr:rowOff>
    </xdr:from>
    <xdr:to>
      <xdr:col>4</xdr:col>
      <xdr:colOff>85725</xdr:colOff>
      <xdr:row>46</xdr:row>
      <xdr:rowOff>95250</xdr:rowOff>
    </xdr:to>
    <xdr:sp>
      <xdr:nvSpPr>
        <xdr:cNvPr id="22" name="Arc 27"/>
        <xdr:cNvSpPr>
          <a:spLocks/>
        </xdr:cNvSpPr>
      </xdr:nvSpPr>
      <xdr:spPr>
        <a:xfrm flipH="1" flipV="1">
          <a:off x="2276475" y="7829550"/>
          <a:ext cx="85725" cy="76200"/>
        </a:xfrm>
        <a:custGeom>
          <a:pathLst>
            <a:path fill="none" h="43200" w="43200">
              <a:moveTo>
                <a:pt x="29863" y="41556"/>
              </a:moveTo>
              <a:cubicBezTo>
                <a:pt x="27243" y="42641"/>
                <a:pt x="24435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9863" y="41556"/>
              </a:moveTo>
              <a:cubicBezTo>
                <a:pt x="27243" y="42641"/>
                <a:pt x="24435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44</xdr:row>
      <xdr:rowOff>133350</xdr:rowOff>
    </xdr:from>
    <xdr:to>
      <xdr:col>5</xdr:col>
      <xdr:colOff>323850</xdr:colOff>
      <xdr:row>45</xdr:row>
      <xdr:rowOff>28575</xdr:rowOff>
    </xdr:to>
    <xdr:sp>
      <xdr:nvSpPr>
        <xdr:cNvPr id="23" name="Line 28"/>
        <xdr:cNvSpPr>
          <a:spLocks/>
        </xdr:cNvSpPr>
      </xdr:nvSpPr>
      <xdr:spPr>
        <a:xfrm>
          <a:off x="3152775" y="76200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45</xdr:row>
      <xdr:rowOff>38100</xdr:rowOff>
    </xdr:from>
    <xdr:to>
      <xdr:col>5</xdr:col>
      <xdr:colOff>323850</xdr:colOff>
      <xdr:row>45</xdr:row>
      <xdr:rowOff>95250</xdr:rowOff>
    </xdr:to>
    <xdr:sp>
      <xdr:nvSpPr>
        <xdr:cNvPr id="24" name="Line 29"/>
        <xdr:cNvSpPr>
          <a:spLocks/>
        </xdr:cNvSpPr>
      </xdr:nvSpPr>
      <xdr:spPr>
        <a:xfrm flipH="1">
          <a:off x="3133725" y="768667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45</xdr:row>
      <xdr:rowOff>85725</xdr:rowOff>
    </xdr:from>
    <xdr:to>
      <xdr:col>5</xdr:col>
      <xdr:colOff>314325</xdr:colOff>
      <xdr:row>45</xdr:row>
      <xdr:rowOff>133350</xdr:rowOff>
    </xdr:to>
    <xdr:sp>
      <xdr:nvSpPr>
        <xdr:cNvPr id="25" name="Line 30"/>
        <xdr:cNvSpPr>
          <a:spLocks/>
        </xdr:cNvSpPr>
      </xdr:nvSpPr>
      <xdr:spPr>
        <a:xfrm>
          <a:off x="3152775" y="77343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46</xdr:row>
      <xdr:rowOff>0</xdr:rowOff>
    </xdr:from>
    <xdr:to>
      <xdr:col>5</xdr:col>
      <xdr:colOff>323850</xdr:colOff>
      <xdr:row>46</xdr:row>
      <xdr:rowOff>66675</xdr:rowOff>
    </xdr:to>
    <xdr:sp>
      <xdr:nvSpPr>
        <xdr:cNvPr id="26" name="Line 31"/>
        <xdr:cNvSpPr>
          <a:spLocks/>
        </xdr:cNvSpPr>
      </xdr:nvSpPr>
      <xdr:spPr>
        <a:xfrm flipH="1">
          <a:off x="3133725" y="781050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46</xdr:row>
      <xdr:rowOff>57150</xdr:rowOff>
    </xdr:from>
    <xdr:to>
      <xdr:col>5</xdr:col>
      <xdr:colOff>266700</xdr:colOff>
      <xdr:row>48</xdr:row>
      <xdr:rowOff>0</xdr:rowOff>
    </xdr:to>
    <xdr:sp>
      <xdr:nvSpPr>
        <xdr:cNvPr id="27" name="Line 32"/>
        <xdr:cNvSpPr>
          <a:spLocks/>
        </xdr:cNvSpPr>
      </xdr:nvSpPr>
      <xdr:spPr>
        <a:xfrm>
          <a:off x="3152775" y="7867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76200</xdr:rowOff>
    </xdr:from>
    <xdr:to>
      <xdr:col>4</xdr:col>
      <xdr:colOff>0</xdr:colOff>
      <xdr:row>47</xdr:row>
      <xdr:rowOff>142875</xdr:rowOff>
    </xdr:to>
    <xdr:sp>
      <xdr:nvSpPr>
        <xdr:cNvPr id="28" name="Line 34"/>
        <xdr:cNvSpPr>
          <a:spLocks/>
        </xdr:cNvSpPr>
      </xdr:nvSpPr>
      <xdr:spPr>
        <a:xfrm>
          <a:off x="2276475" y="7886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9525</xdr:rowOff>
    </xdr:from>
    <xdr:to>
      <xdr:col>5</xdr:col>
      <xdr:colOff>295275</xdr:colOff>
      <xdr:row>48</xdr:row>
      <xdr:rowOff>9525</xdr:rowOff>
    </xdr:to>
    <xdr:sp>
      <xdr:nvSpPr>
        <xdr:cNvPr id="29" name="Line 35"/>
        <xdr:cNvSpPr>
          <a:spLocks/>
        </xdr:cNvSpPr>
      </xdr:nvSpPr>
      <xdr:spPr>
        <a:xfrm>
          <a:off x="1133475" y="81438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114300</xdr:rowOff>
    </xdr:from>
    <xdr:to>
      <xdr:col>5</xdr:col>
      <xdr:colOff>457200</xdr:colOff>
      <xdr:row>46</xdr:row>
      <xdr:rowOff>66675</xdr:rowOff>
    </xdr:to>
    <xdr:sp>
      <xdr:nvSpPr>
        <xdr:cNvPr id="30" name="Line 36"/>
        <xdr:cNvSpPr>
          <a:spLocks/>
        </xdr:cNvSpPr>
      </xdr:nvSpPr>
      <xdr:spPr>
        <a:xfrm flipV="1">
          <a:off x="3067050" y="7600950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42</xdr:row>
      <xdr:rowOff>152400</xdr:rowOff>
    </xdr:from>
    <xdr:to>
      <xdr:col>2</xdr:col>
      <xdr:colOff>533400</xdr:colOff>
      <xdr:row>43</xdr:row>
      <xdr:rowOff>28575</xdr:rowOff>
    </xdr:to>
    <xdr:sp>
      <xdr:nvSpPr>
        <xdr:cNvPr id="31" name="Oval 37"/>
        <xdr:cNvSpPr>
          <a:spLocks/>
        </xdr:cNvSpPr>
      </xdr:nvSpPr>
      <xdr:spPr>
        <a:xfrm>
          <a:off x="1733550" y="73152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47</xdr:row>
      <xdr:rowOff>152400</xdr:rowOff>
    </xdr:from>
    <xdr:to>
      <xdr:col>2</xdr:col>
      <xdr:colOff>514350</xdr:colOff>
      <xdr:row>48</xdr:row>
      <xdr:rowOff>9525</xdr:rowOff>
    </xdr:to>
    <xdr:sp>
      <xdr:nvSpPr>
        <xdr:cNvPr id="32" name="Oval 38"/>
        <xdr:cNvSpPr>
          <a:spLocks/>
        </xdr:cNvSpPr>
      </xdr:nvSpPr>
      <xdr:spPr>
        <a:xfrm>
          <a:off x="1724025" y="8124825"/>
          <a:ext cx="9525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42</xdr:row>
      <xdr:rowOff>142875</xdr:rowOff>
    </xdr:from>
    <xdr:to>
      <xdr:col>3</xdr:col>
      <xdr:colOff>447675</xdr:colOff>
      <xdr:row>45</xdr:row>
      <xdr:rowOff>19050</xdr:rowOff>
    </xdr:to>
    <xdr:sp>
      <xdr:nvSpPr>
        <xdr:cNvPr id="33" name="Line 39"/>
        <xdr:cNvSpPr>
          <a:spLocks/>
        </xdr:cNvSpPr>
      </xdr:nvSpPr>
      <xdr:spPr>
        <a:xfrm flipV="1">
          <a:off x="2028825" y="7305675"/>
          <a:ext cx="247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45</xdr:row>
      <xdr:rowOff>142875</xdr:rowOff>
    </xdr:from>
    <xdr:to>
      <xdr:col>3</xdr:col>
      <xdr:colOff>447675</xdr:colOff>
      <xdr:row>47</xdr:row>
      <xdr:rowOff>133350</xdr:rowOff>
    </xdr:to>
    <xdr:sp>
      <xdr:nvSpPr>
        <xdr:cNvPr id="34" name="Line 40"/>
        <xdr:cNvSpPr>
          <a:spLocks/>
        </xdr:cNvSpPr>
      </xdr:nvSpPr>
      <xdr:spPr>
        <a:xfrm>
          <a:off x="2028825" y="7791450"/>
          <a:ext cx="247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45</xdr:row>
      <xdr:rowOff>104775</xdr:rowOff>
    </xdr:from>
    <xdr:to>
      <xdr:col>2</xdr:col>
      <xdr:colOff>161925</xdr:colOff>
      <xdr:row>45</xdr:row>
      <xdr:rowOff>104775</xdr:rowOff>
    </xdr:to>
    <xdr:sp>
      <xdr:nvSpPr>
        <xdr:cNvPr id="35" name="Line 41"/>
        <xdr:cNvSpPr>
          <a:spLocks/>
        </xdr:cNvSpPr>
      </xdr:nvSpPr>
      <xdr:spPr>
        <a:xfrm>
          <a:off x="885825" y="7753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179</xdr:row>
      <xdr:rowOff>133350</xdr:rowOff>
    </xdr:from>
    <xdr:to>
      <xdr:col>4</xdr:col>
      <xdr:colOff>295275</xdr:colOff>
      <xdr:row>180</xdr:row>
      <xdr:rowOff>57150</xdr:rowOff>
    </xdr:to>
    <xdr:sp>
      <xdr:nvSpPr>
        <xdr:cNvPr id="36" name="Arc 43"/>
        <xdr:cNvSpPr>
          <a:spLocks/>
        </xdr:cNvSpPr>
      </xdr:nvSpPr>
      <xdr:spPr>
        <a:xfrm flipH="1">
          <a:off x="2466975" y="29537025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179</xdr:row>
      <xdr:rowOff>142875</xdr:rowOff>
    </xdr:from>
    <xdr:to>
      <xdr:col>4</xdr:col>
      <xdr:colOff>533400</xdr:colOff>
      <xdr:row>180</xdr:row>
      <xdr:rowOff>66675</xdr:rowOff>
    </xdr:to>
    <xdr:sp>
      <xdr:nvSpPr>
        <xdr:cNvPr id="37" name="Arc 44"/>
        <xdr:cNvSpPr>
          <a:spLocks/>
        </xdr:cNvSpPr>
      </xdr:nvSpPr>
      <xdr:spPr>
        <a:xfrm flipH="1">
          <a:off x="2676525" y="29546550"/>
          <a:ext cx="133350" cy="85725"/>
        </a:xfrm>
        <a:custGeom>
          <a:pathLst>
            <a:path fill="none" h="21600" w="27936">
              <a:moveTo>
                <a:pt x="0" y="950"/>
              </a:moveTo>
              <a:cubicBezTo>
                <a:pt x="2053" y="320"/>
                <a:pt x="4188" y="-1"/>
                <a:pt x="6336" y="0"/>
              </a:cubicBezTo>
              <a:cubicBezTo>
                <a:pt x="18265" y="0"/>
                <a:pt x="27936" y="9670"/>
                <a:pt x="27936" y="21600"/>
              </a:cubicBezTo>
            </a:path>
            <a:path stroke="0" h="21600" w="27936">
              <a:moveTo>
                <a:pt x="0" y="950"/>
              </a:moveTo>
              <a:cubicBezTo>
                <a:pt x="2053" y="320"/>
                <a:pt x="4188" y="-1"/>
                <a:pt x="6336" y="0"/>
              </a:cubicBezTo>
              <a:cubicBezTo>
                <a:pt x="18265" y="0"/>
                <a:pt x="27936" y="9670"/>
                <a:pt x="27936" y="21600"/>
              </a:cubicBezTo>
              <a:lnTo>
                <a:pt x="6336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179</xdr:row>
      <xdr:rowOff>114300</xdr:rowOff>
    </xdr:from>
    <xdr:to>
      <xdr:col>5</xdr:col>
      <xdr:colOff>457200</xdr:colOff>
      <xdr:row>180</xdr:row>
      <xdr:rowOff>38100</xdr:rowOff>
    </xdr:to>
    <xdr:sp>
      <xdr:nvSpPr>
        <xdr:cNvPr id="38" name="Arc 45"/>
        <xdr:cNvSpPr>
          <a:spLocks/>
        </xdr:cNvSpPr>
      </xdr:nvSpPr>
      <xdr:spPr>
        <a:xfrm flipH="1">
          <a:off x="3238500" y="29517975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179</xdr:row>
      <xdr:rowOff>142875</xdr:rowOff>
    </xdr:from>
    <xdr:to>
      <xdr:col>4</xdr:col>
      <xdr:colOff>400050</xdr:colOff>
      <xdr:row>180</xdr:row>
      <xdr:rowOff>66675</xdr:rowOff>
    </xdr:to>
    <xdr:sp>
      <xdr:nvSpPr>
        <xdr:cNvPr id="39" name="Arc 51"/>
        <xdr:cNvSpPr>
          <a:spLocks/>
        </xdr:cNvSpPr>
      </xdr:nvSpPr>
      <xdr:spPr>
        <a:xfrm>
          <a:off x="2581275" y="29546550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179</xdr:row>
      <xdr:rowOff>133350</xdr:rowOff>
    </xdr:from>
    <xdr:to>
      <xdr:col>5</xdr:col>
      <xdr:colOff>0</xdr:colOff>
      <xdr:row>180</xdr:row>
      <xdr:rowOff>57150</xdr:rowOff>
    </xdr:to>
    <xdr:sp>
      <xdr:nvSpPr>
        <xdr:cNvPr id="40" name="Arc 52"/>
        <xdr:cNvSpPr>
          <a:spLocks/>
        </xdr:cNvSpPr>
      </xdr:nvSpPr>
      <xdr:spPr>
        <a:xfrm>
          <a:off x="2790825" y="29537025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179</xdr:row>
      <xdr:rowOff>104775</xdr:rowOff>
    </xdr:from>
    <xdr:to>
      <xdr:col>4</xdr:col>
      <xdr:colOff>38100</xdr:colOff>
      <xdr:row>180</xdr:row>
      <xdr:rowOff>57150</xdr:rowOff>
    </xdr:to>
    <xdr:sp>
      <xdr:nvSpPr>
        <xdr:cNvPr id="41" name="Rectangle 59"/>
        <xdr:cNvSpPr>
          <a:spLocks/>
        </xdr:cNvSpPr>
      </xdr:nvSpPr>
      <xdr:spPr>
        <a:xfrm>
          <a:off x="2143125" y="29508450"/>
          <a:ext cx="1714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180</xdr:row>
      <xdr:rowOff>19050</xdr:rowOff>
    </xdr:from>
    <xdr:to>
      <xdr:col>4</xdr:col>
      <xdr:colOff>180975</xdr:colOff>
      <xdr:row>180</xdr:row>
      <xdr:rowOff>19050</xdr:rowOff>
    </xdr:to>
    <xdr:sp>
      <xdr:nvSpPr>
        <xdr:cNvPr id="42" name="Line 61"/>
        <xdr:cNvSpPr>
          <a:spLocks/>
        </xdr:cNvSpPr>
      </xdr:nvSpPr>
      <xdr:spPr>
        <a:xfrm>
          <a:off x="2343150" y="29584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180</xdr:row>
      <xdr:rowOff>9525</xdr:rowOff>
    </xdr:from>
    <xdr:to>
      <xdr:col>5</xdr:col>
      <xdr:colOff>371475</xdr:colOff>
      <xdr:row>180</xdr:row>
      <xdr:rowOff>9525</xdr:rowOff>
    </xdr:to>
    <xdr:sp>
      <xdr:nvSpPr>
        <xdr:cNvPr id="43" name="Line 62"/>
        <xdr:cNvSpPr>
          <a:spLocks/>
        </xdr:cNvSpPr>
      </xdr:nvSpPr>
      <xdr:spPr>
        <a:xfrm>
          <a:off x="2857500" y="295751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181</xdr:row>
      <xdr:rowOff>9525</xdr:rowOff>
    </xdr:from>
    <xdr:to>
      <xdr:col>5</xdr:col>
      <xdr:colOff>419100</xdr:colOff>
      <xdr:row>181</xdr:row>
      <xdr:rowOff>9525</xdr:rowOff>
    </xdr:to>
    <xdr:sp>
      <xdr:nvSpPr>
        <xdr:cNvPr id="44" name="Line 65"/>
        <xdr:cNvSpPr>
          <a:spLocks/>
        </xdr:cNvSpPr>
      </xdr:nvSpPr>
      <xdr:spPr>
        <a:xfrm>
          <a:off x="2895600" y="29737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181</xdr:row>
      <xdr:rowOff>133350</xdr:rowOff>
    </xdr:from>
    <xdr:to>
      <xdr:col>5</xdr:col>
      <xdr:colOff>38100</xdr:colOff>
      <xdr:row>183</xdr:row>
      <xdr:rowOff>123825</xdr:rowOff>
    </xdr:to>
    <xdr:sp>
      <xdr:nvSpPr>
        <xdr:cNvPr id="45" name="Rectangle 66"/>
        <xdr:cNvSpPr>
          <a:spLocks/>
        </xdr:cNvSpPr>
      </xdr:nvSpPr>
      <xdr:spPr>
        <a:xfrm>
          <a:off x="2847975" y="29860875"/>
          <a:ext cx="762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181</xdr:row>
      <xdr:rowOff>142875</xdr:rowOff>
    </xdr:from>
    <xdr:to>
      <xdr:col>5</xdr:col>
      <xdr:colOff>19050</xdr:colOff>
      <xdr:row>181</xdr:row>
      <xdr:rowOff>142875</xdr:rowOff>
    </xdr:to>
    <xdr:sp>
      <xdr:nvSpPr>
        <xdr:cNvPr id="46" name="Line 67"/>
        <xdr:cNvSpPr>
          <a:spLocks/>
        </xdr:cNvSpPr>
      </xdr:nvSpPr>
      <xdr:spPr>
        <a:xfrm flipH="1">
          <a:off x="2886075" y="29870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181</xdr:row>
      <xdr:rowOff>0</xdr:rowOff>
    </xdr:from>
    <xdr:to>
      <xdr:col>5</xdr:col>
      <xdr:colOff>0</xdr:colOff>
      <xdr:row>181</xdr:row>
      <xdr:rowOff>133350</xdr:rowOff>
    </xdr:to>
    <xdr:sp>
      <xdr:nvSpPr>
        <xdr:cNvPr id="47" name="Line 68"/>
        <xdr:cNvSpPr>
          <a:spLocks/>
        </xdr:cNvSpPr>
      </xdr:nvSpPr>
      <xdr:spPr>
        <a:xfrm>
          <a:off x="2886075" y="29727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183</xdr:row>
      <xdr:rowOff>133350</xdr:rowOff>
    </xdr:from>
    <xdr:to>
      <xdr:col>5</xdr:col>
      <xdr:colOff>0</xdr:colOff>
      <xdr:row>185</xdr:row>
      <xdr:rowOff>19050</xdr:rowOff>
    </xdr:to>
    <xdr:sp>
      <xdr:nvSpPr>
        <xdr:cNvPr id="48" name="Line 69"/>
        <xdr:cNvSpPr>
          <a:spLocks/>
        </xdr:cNvSpPr>
      </xdr:nvSpPr>
      <xdr:spPr>
        <a:xfrm>
          <a:off x="2886075" y="30184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184</xdr:row>
      <xdr:rowOff>152400</xdr:rowOff>
    </xdr:from>
    <xdr:to>
      <xdr:col>7</xdr:col>
      <xdr:colOff>419100</xdr:colOff>
      <xdr:row>184</xdr:row>
      <xdr:rowOff>152400</xdr:rowOff>
    </xdr:to>
    <xdr:sp>
      <xdr:nvSpPr>
        <xdr:cNvPr id="49" name="Line 70"/>
        <xdr:cNvSpPr>
          <a:spLocks/>
        </xdr:cNvSpPr>
      </xdr:nvSpPr>
      <xdr:spPr>
        <a:xfrm>
          <a:off x="1933575" y="303657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181</xdr:row>
      <xdr:rowOff>9525</xdr:rowOff>
    </xdr:from>
    <xdr:to>
      <xdr:col>5</xdr:col>
      <xdr:colOff>409575</xdr:colOff>
      <xdr:row>181</xdr:row>
      <xdr:rowOff>152400</xdr:rowOff>
    </xdr:to>
    <xdr:sp>
      <xdr:nvSpPr>
        <xdr:cNvPr id="50" name="Line 71"/>
        <xdr:cNvSpPr>
          <a:spLocks/>
        </xdr:cNvSpPr>
      </xdr:nvSpPr>
      <xdr:spPr>
        <a:xfrm>
          <a:off x="3295650" y="29737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183</xdr:row>
      <xdr:rowOff>0</xdr:rowOff>
    </xdr:from>
    <xdr:to>
      <xdr:col>5</xdr:col>
      <xdr:colOff>533400</xdr:colOff>
      <xdr:row>183</xdr:row>
      <xdr:rowOff>85725</xdr:rowOff>
    </xdr:to>
    <xdr:sp>
      <xdr:nvSpPr>
        <xdr:cNvPr id="51" name="Arc 73"/>
        <xdr:cNvSpPr>
          <a:spLocks/>
        </xdr:cNvSpPr>
      </xdr:nvSpPr>
      <xdr:spPr>
        <a:xfrm>
          <a:off x="3333750" y="30051375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181</xdr:row>
      <xdr:rowOff>142875</xdr:rowOff>
    </xdr:from>
    <xdr:to>
      <xdr:col>5</xdr:col>
      <xdr:colOff>495300</xdr:colOff>
      <xdr:row>182</xdr:row>
      <xdr:rowOff>66675</xdr:rowOff>
    </xdr:to>
    <xdr:sp>
      <xdr:nvSpPr>
        <xdr:cNvPr id="52" name="Arc 76"/>
        <xdr:cNvSpPr>
          <a:spLocks/>
        </xdr:cNvSpPr>
      </xdr:nvSpPr>
      <xdr:spPr>
        <a:xfrm>
          <a:off x="3295650" y="2987040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182</xdr:row>
      <xdr:rowOff>57150</xdr:rowOff>
    </xdr:from>
    <xdr:to>
      <xdr:col>5</xdr:col>
      <xdr:colOff>495300</xdr:colOff>
      <xdr:row>183</xdr:row>
      <xdr:rowOff>0</xdr:rowOff>
    </xdr:to>
    <xdr:sp>
      <xdr:nvSpPr>
        <xdr:cNvPr id="53" name="Arc 81"/>
        <xdr:cNvSpPr>
          <a:spLocks/>
        </xdr:cNvSpPr>
      </xdr:nvSpPr>
      <xdr:spPr>
        <a:xfrm flipV="1">
          <a:off x="3314700" y="29946600"/>
          <a:ext cx="66675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183</xdr:row>
      <xdr:rowOff>66675</xdr:rowOff>
    </xdr:from>
    <xdr:to>
      <xdr:col>5</xdr:col>
      <xdr:colOff>523875</xdr:colOff>
      <xdr:row>184</xdr:row>
      <xdr:rowOff>9525</xdr:rowOff>
    </xdr:to>
    <xdr:sp>
      <xdr:nvSpPr>
        <xdr:cNvPr id="54" name="Arc 82"/>
        <xdr:cNvSpPr>
          <a:spLocks/>
        </xdr:cNvSpPr>
      </xdr:nvSpPr>
      <xdr:spPr>
        <a:xfrm flipV="1">
          <a:off x="3343275" y="30118050"/>
          <a:ext cx="66675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184</xdr:row>
      <xdr:rowOff>0</xdr:rowOff>
    </xdr:from>
    <xdr:to>
      <xdr:col>5</xdr:col>
      <xdr:colOff>447675</xdr:colOff>
      <xdr:row>185</xdr:row>
      <xdr:rowOff>9525</xdr:rowOff>
    </xdr:to>
    <xdr:sp>
      <xdr:nvSpPr>
        <xdr:cNvPr id="55" name="Line 83"/>
        <xdr:cNvSpPr>
          <a:spLocks/>
        </xdr:cNvSpPr>
      </xdr:nvSpPr>
      <xdr:spPr>
        <a:xfrm>
          <a:off x="3333750" y="30213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181</xdr:row>
      <xdr:rowOff>133350</xdr:rowOff>
    </xdr:from>
    <xdr:to>
      <xdr:col>7</xdr:col>
      <xdr:colOff>333375</xdr:colOff>
      <xdr:row>183</xdr:row>
      <xdr:rowOff>133350</xdr:rowOff>
    </xdr:to>
    <xdr:sp>
      <xdr:nvSpPr>
        <xdr:cNvPr id="56" name="Rectangle 84"/>
        <xdr:cNvSpPr>
          <a:spLocks/>
        </xdr:cNvSpPr>
      </xdr:nvSpPr>
      <xdr:spPr>
        <a:xfrm>
          <a:off x="4314825" y="29860875"/>
          <a:ext cx="123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183</xdr:row>
      <xdr:rowOff>133350</xdr:rowOff>
    </xdr:from>
    <xdr:to>
      <xdr:col>7</xdr:col>
      <xdr:colOff>285750</xdr:colOff>
      <xdr:row>185</xdr:row>
      <xdr:rowOff>0</xdr:rowOff>
    </xdr:to>
    <xdr:sp>
      <xdr:nvSpPr>
        <xdr:cNvPr id="57" name="Line 86"/>
        <xdr:cNvSpPr>
          <a:spLocks/>
        </xdr:cNvSpPr>
      </xdr:nvSpPr>
      <xdr:spPr>
        <a:xfrm>
          <a:off x="4391025" y="30184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185</xdr:row>
      <xdr:rowOff>85725</xdr:rowOff>
    </xdr:from>
    <xdr:to>
      <xdr:col>2</xdr:col>
      <xdr:colOff>504825</xdr:colOff>
      <xdr:row>186</xdr:row>
      <xdr:rowOff>9525</xdr:rowOff>
    </xdr:to>
    <xdr:sp>
      <xdr:nvSpPr>
        <xdr:cNvPr id="58" name="Arc 89"/>
        <xdr:cNvSpPr>
          <a:spLocks/>
        </xdr:cNvSpPr>
      </xdr:nvSpPr>
      <xdr:spPr>
        <a:xfrm flipH="1">
          <a:off x="1619250" y="3046095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185</xdr:row>
      <xdr:rowOff>95250</xdr:rowOff>
    </xdr:from>
    <xdr:to>
      <xdr:col>4</xdr:col>
      <xdr:colOff>66675</xdr:colOff>
      <xdr:row>186</xdr:row>
      <xdr:rowOff>47625</xdr:rowOff>
    </xdr:to>
    <xdr:sp>
      <xdr:nvSpPr>
        <xdr:cNvPr id="59" name="Rectangle 95"/>
        <xdr:cNvSpPr>
          <a:spLocks/>
        </xdr:cNvSpPr>
      </xdr:nvSpPr>
      <xdr:spPr>
        <a:xfrm>
          <a:off x="2171700" y="30470475"/>
          <a:ext cx="1714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186</xdr:row>
      <xdr:rowOff>0</xdr:rowOff>
    </xdr:from>
    <xdr:to>
      <xdr:col>1</xdr:col>
      <xdr:colOff>190500</xdr:colOff>
      <xdr:row>186</xdr:row>
      <xdr:rowOff>0</xdr:rowOff>
    </xdr:to>
    <xdr:sp>
      <xdr:nvSpPr>
        <xdr:cNvPr id="60" name="Line 97"/>
        <xdr:cNvSpPr>
          <a:spLocks/>
        </xdr:cNvSpPr>
      </xdr:nvSpPr>
      <xdr:spPr>
        <a:xfrm>
          <a:off x="685800" y="30537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186</xdr:row>
      <xdr:rowOff>9525</xdr:rowOff>
    </xdr:from>
    <xdr:to>
      <xdr:col>2</xdr:col>
      <xdr:colOff>409575</xdr:colOff>
      <xdr:row>186</xdr:row>
      <xdr:rowOff>9525</xdr:rowOff>
    </xdr:to>
    <xdr:sp>
      <xdr:nvSpPr>
        <xdr:cNvPr id="61" name="Line 98"/>
        <xdr:cNvSpPr>
          <a:spLocks/>
        </xdr:cNvSpPr>
      </xdr:nvSpPr>
      <xdr:spPr>
        <a:xfrm>
          <a:off x="1228725" y="30546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186</xdr:row>
      <xdr:rowOff>0</xdr:rowOff>
    </xdr:from>
    <xdr:to>
      <xdr:col>2</xdr:col>
      <xdr:colOff>209550</xdr:colOff>
      <xdr:row>188</xdr:row>
      <xdr:rowOff>0</xdr:rowOff>
    </xdr:to>
    <xdr:sp>
      <xdr:nvSpPr>
        <xdr:cNvPr id="62" name="Line 100"/>
        <xdr:cNvSpPr>
          <a:spLocks/>
        </xdr:cNvSpPr>
      </xdr:nvSpPr>
      <xdr:spPr>
        <a:xfrm>
          <a:off x="1428750" y="30537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188</xdr:row>
      <xdr:rowOff>9525</xdr:rowOff>
    </xdr:from>
    <xdr:to>
      <xdr:col>2</xdr:col>
      <xdr:colOff>476250</xdr:colOff>
      <xdr:row>188</xdr:row>
      <xdr:rowOff>9525</xdr:rowOff>
    </xdr:to>
    <xdr:sp>
      <xdr:nvSpPr>
        <xdr:cNvPr id="63" name="Line 101"/>
        <xdr:cNvSpPr>
          <a:spLocks/>
        </xdr:cNvSpPr>
      </xdr:nvSpPr>
      <xdr:spPr>
        <a:xfrm>
          <a:off x="1228725" y="30870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188</xdr:row>
      <xdr:rowOff>133350</xdr:rowOff>
    </xdr:from>
    <xdr:to>
      <xdr:col>2</xdr:col>
      <xdr:colOff>38100</xdr:colOff>
      <xdr:row>190</xdr:row>
      <xdr:rowOff>123825</xdr:rowOff>
    </xdr:to>
    <xdr:sp>
      <xdr:nvSpPr>
        <xdr:cNvPr id="64" name="Rectangle 102"/>
        <xdr:cNvSpPr>
          <a:spLocks/>
        </xdr:cNvSpPr>
      </xdr:nvSpPr>
      <xdr:spPr>
        <a:xfrm>
          <a:off x="1181100" y="30994350"/>
          <a:ext cx="762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188</xdr:row>
      <xdr:rowOff>142875</xdr:rowOff>
    </xdr:from>
    <xdr:to>
      <xdr:col>2</xdr:col>
      <xdr:colOff>19050</xdr:colOff>
      <xdr:row>188</xdr:row>
      <xdr:rowOff>142875</xdr:rowOff>
    </xdr:to>
    <xdr:sp>
      <xdr:nvSpPr>
        <xdr:cNvPr id="65" name="Line 103"/>
        <xdr:cNvSpPr>
          <a:spLocks/>
        </xdr:cNvSpPr>
      </xdr:nvSpPr>
      <xdr:spPr>
        <a:xfrm flipH="1">
          <a:off x="1219200" y="310038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0</xdr:colOff>
      <xdr:row>188</xdr:row>
      <xdr:rowOff>133350</xdr:rowOff>
    </xdr:to>
    <xdr:sp>
      <xdr:nvSpPr>
        <xdr:cNvPr id="66" name="Line 104"/>
        <xdr:cNvSpPr>
          <a:spLocks/>
        </xdr:cNvSpPr>
      </xdr:nvSpPr>
      <xdr:spPr>
        <a:xfrm>
          <a:off x="1219200" y="30861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133350</xdr:rowOff>
    </xdr:from>
    <xdr:to>
      <xdr:col>2</xdr:col>
      <xdr:colOff>0</xdr:colOff>
      <xdr:row>192</xdr:row>
      <xdr:rowOff>19050</xdr:rowOff>
    </xdr:to>
    <xdr:sp>
      <xdr:nvSpPr>
        <xdr:cNvPr id="67" name="Line 105"/>
        <xdr:cNvSpPr>
          <a:spLocks/>
        </xdr:cNvSpPr>
      </xdr:nvSpPr>
      <xdr:spPr>
        <a:xfrm>
          <a:off x="1219200" y="31318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191</xdr:row>
      <xdr:rowOff>152400</xdr:rowOff>
    </xdr:from>
    <xdr:to>
      <xdr:col>4</xdr:col>
      <xdr:colOff>276225</xdr:colOff>
      <xdr:row>192</xdr:row>
      <xdr:rowOff>0</xdr:rowOff>
    </xdr:to>
    <xdr:sp>
      <xdr:nvSpPr>
        <xdr:cNvPr id="68" name="Line 106"/>
        <xdr:cNvSpPr>
          <a:spLocks/>
        </xdr:cNvSpPr>
      </xdr:nvSpPr>
      <xdr:spPr>
        <a:xfrm flipV="1">
          <a:off x="133350" y="3149917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188</xdr:row>
      <xdr:rowOff>0</xdr:rowOff>
    </xdr:from>
    <xdr:to>
      <xdr:col>2</xdr:col>
      <xdr:colOff>466725</xdr:colOff>
      <xdr:row>188</xdr:row>
      <xdr:rowOff>142875</xdr:rowOff>
    </xdr:to>
    <xdr:sp>
      <xdr:nvSpPr>
        <xdr:cNvPr id="69" name="Line 107"/>
        <xdr:cNvSpPr>
          <a:spLocks/>
        </xdr:cNvSpPr>
      </xdr:nvSpPr>
      <xdr:spPr>
        <a:xfrm>
          <a:off x="1685925" y="30861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190</xdr:row>
      <xdr:rowOff>0</xdr:rowOff>
    </xdr:from>
    <xdr:to>
      <xdr:col>2</xdr:col>
      <xdr:colOff>533400</xdr:colOff>
      <xdr:row>190</xdr:row>
      <xdr:rowOff>85725</xdr:rowOff>
    </xdr:to>
    <xdr:sp>
      <xdr:nvSpPr>
        <xdr:cNvPr id="70" name="Arc 108"/>
        <xdr:cNvSpPr>
          <a:spLocks/>
        </xdr:cNvSpPr>
      </xdr:nvSpPr>
      <xdr:spPr>
        <a:xfrm>
          <a:off x="1666875" y="31184850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190</xdr:row>
      <xdr:rowOff>66675</xdr:rowOff>
    </xdr:from>
    <xdr:to>
      <xdr:col>2</xdr:col>
      <xdr:colOff>523875</xdr:colOff>
      <xdr:row>191</xdr:row>
      <xdr:rowOff>9525</xdr:rowOff>
    </xdr:to>
    <xdr:sp>
      <xdr:nvSpPr>
        <xdr:cNvPr id="71" name="Arc 111"/>
        <xdr:cNvSpPr>
          <a:spLocks/>
        </xdr:cNvSpPr>
      </xdr:nvSpPr>
      <xdr:spPr>
        <a:xfrm flipV="1">
          <a:off x="1676400" y="31251525"/>
          <a:ext cx="66675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191</xdr:row>
      <xdr:rowOff>0</xdr:rowOff>
    </xdr:from>
    <xdr:to>
      <xdr:col>2</xdr:col>
      <xdr:colOff>447675</xdr:colOff>
      <xdr:row>192</xdr:row>
      <xdr:rowOff>9525</xdr:rowOff>
    </xdr:to>
    <xdr:sp>
      <xdr:nvSpPr>
        <xdr:cNvPr id="72" name="Line 112"/>
        <xdr:cNvSpPr>
          <a:spLocks/>
        </xdr:cNvSpPr>
      </xdr:nvSpPr>
      <xdr:spPr>
        <a:xfrm>
          <a:off x="1666875" y="31346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188</xdr:row>
      <xdr:rowOff>133350</xdr:rowOff>
    </xdr:from>
    <xdr:to>
      <xdr:col>4</xdr:col>
      <xdr:colOff>333375</xdr:colOff>
      <xdr:row>190</xdr:row>
      <xdr:rowOff>133350</xdr:rowOff>
    </xdr:to>
    <xdr:sp>
      <xdr:nvSpPr>
        <xdr:cNvPr id="73" name="Rectangle 113"/>
        <xdr:cNvSpPr>
          <a:spLocks/>
        </xdr:cNvSpPr>
      </xdr:nvSpPr>
      <xdr:spPr>
        <a:xfrm>
          <a:off x="2486025" y="30994350"/>
          <a:ext cx="123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186</xdr:row>
      <xdr:rowOff>9525</xdr:rowOff>
    </xdr:from>
    <xdr:to>
      <xdr:col>4</xdr:col>
      <xdr:colOff>276225</xdr:colOff>
      <xdr:row>188</xdr:row>
      <xdr:rowOff>142875</xdr:rowOff>
    </xdr:to>
    <xdr:sp>
      <xdr:nvSpPr>
        <xdr:cNvPr id="74" name="Line 114"/>
        <xdr:cNvSpPr>
          <a:spLocks/>
        </xdr:cNvSpPr>
      </xdr:nvSpPr>
      <xdr:spPr>
        <a:xfrm>
          <a:off x="2552700" y="30546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190</xdr:row>
      <xdr:rowOff>133350</xdr:rowOff>
    </xdr:from>
    <xdr:to>
      <xdr:col>4</xdr:col>
      <xdr:colOff>285750</xdr:colOff>
      <xdr:row>192</xdr:row>
      <xdr:rowOff>0</xdr:rowOff>
    </xdr:to>
    <xdr:sp>
      <xdr:nvSpPr>
        <xdr:cNvPr id="75" name="Line 115"/>
        <xdr:cNvSpPr>
          <a:spLocks/>
        </xdr:cNvSpPr>
      </xdr:nvSpPr>
      <xdr:spPr>
        <a:xfrm>
          <a:off x="2562225" y="31318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186</xdr:row>
      <xdr:rowOff>9525</xdr:rowOff>
    </xdr:from>
    <xdr:to>
      <xdr:col>3</xdr:col>
      <xdr:colOff>342900</xdr:colOff>
      <xdr:row>186</xdr:row>
      <xdr:rowOff>9525</xdr:rowOff>
    </xdr:to>
    <xdr:sp>
      <xdr:nvSpPr>
        <xdr:cNvPr id="76" name="Line 116"/>
        <xdr:cNvSpPr>
          <a:spLocks/>
        </xdr:cNvSpPr>
      </xdr:nvSpPr>
      <xdr:spPr>
        <a:xfrm>
          <a:off x="2057400" y="30546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185</xdr:row>
      <xdr:rowOff>152400</xdr:rowOff>
    </xdr:from>
    <xdr:to>
      <xdr:col>4</xdr:col>
      <xdr:colOff>276225</xdr:colOff>
      <xdr:row>185</xdr:row>
      <xdr:rowOff>152400</xdr:rowOff>
    </xdr:to>
    <xdr:sp>
      <xdr:nvSpPr>
        <xdr:cNvPr id="77" name="Line 117"/>
        <xdr:cNvSpPr>
          <a:spLocks/>
        </xdr:cNvSpPr>
      </xdr:nvSpPr>
      <xdr:spPr>
        <a:xfrm>
          <a:off x="2362200" y="30527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181</xdr:row>
      <xdr:rowOff>142875</xdr:rowOff>
    </xdr:from>
    <xdr:to>
      <xdr:col>7</xdr:col>
      <xdr:colOff>514350</xdr:colOff>
      <xdr:row>183</xdr:row>
      <xdr:rowOff>76200</xdr:rowOff>
    </xdr:to>
    <xdr:sp>
      <xdr:nvSpPr>
        <xdr:cNvPr id="78" name="Line 120"/>
        <xdr:cNvSpPr>
          <a:spLocks/>
        </xdr:cNvSpPr>
      </xdr:nvSpPr>
      <xdr:spPr>
        <a:xfrm flipV="1">
          <a:off x="4191000" y="29870400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188</xdr:row>
      <xdr:rowOff>133350</xdr:rowOff>
    </xdr:from>
    <xdr:to>
      <xdr:col>4</xdr:col>
      <xdr:colOff>523875</xdr:colOff>
      <xdr:row>190</xdr:row>
      <xdr:rowOff>66675</xdr:rowOff>
    </xdr:to>
    <xdr:sp>
      <xdr:nvSpPr>
        <xdr:cNvPr id="79" name="Line 121"/>
        <xdr:cNvSpPr>
          <a:spLocks/>
        </xdr:cNvSpPr>
      </xdr:nvSpPr>
      <xdr:spPr>
        <a:xfrm flipV="1">
          <a:off x="2371725" y="30994350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182</xdr:row>
      <xdr:rowOff>0</xdr:rowOff>
    </xdr:from>
    <xdr:to>
      <xdr:col>3</xdr:col>
      <xdr:colOff>133350</xdr:colOff>
      <xdr:row>184</xdr:row>
      <xdr:rowOff>152400</xdr:rowOff>
    </xdr:to>
    <xdr:sp>
      <xdr:nvSpPr>
        <xdr:cNvPr id="80" name="Line 123"/>
        <xdr:cNvSpPr>
          <a:spLocks/>
        </xdr:cNvSpPr>
      </xdr:nvSpPr>
      <xdr:spPr>
        <a:xfrm flipV="1">
          <a:off x="1962150" y="298894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180</xdr:row>
      <xdr:rowOff>9525</xdr:rowOff>
    </xdr:from>
    <xdr:to>
      <xdr:col>3</xdr:col>
      <xdr:colOff>304800</xdr:colOff>
      <xdr:row>180</xdr:row>
      <xdr:rowOff>9525</xdr:rowOff>
    </xdr:to>
    <xdr:sp>
      <xdr:nvSpPr>
        <xdr:cNvPr id="81" name="Line 124"/>
        <xdr:cNvSpPr>
          <a:spLocks/>
        </xdr:cNvSpPr>
      </xdr:nvSpPr>
      <xdr:spPr>
        <a:xfrm>
          <a:off x="1800225" y="29575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179</xdr:row>
      <xdr:rowOff>152400</xdr:rowOff>
    </xdr:from>
    <xdr:to>
      <xdr:col>7</xdr:col>
      <xdr:colOff>304800</xdr:colOff>
      <xdr:row>180</xdr:row>
      <xdr:rowOff>0</xdr:rowOff>
    </xdr:to>
    <xdr:sp>
      <xdr:nvSpPr>
        <xdr:cNvPr id="82" name="Line 125"/>
        <xdr:cNvSpPr>
          <a:spLocks/>
        </xdr:cNvSpPr>
      </xdr:nvSpPr>
      <xdr:spPr>
        <a:xfrm>
          <a:off x="3638550" y="29556075"/>
          <a:ext cx="77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189</xdr:row>
      <xdr:rowOff>19050</xdr:rowOff>
    </xdr:from>
    <xdr:to>
      <xdr:col>0</xdr:col>
      <xdr:colOff>114300</xdr:colOff>
      <xdr:row>192</xdr:row>
      <xdr:rowOff>0</xdr:rowOff>
    </xdr:to>
    <xdr:sp>
      <xdr:nvSpPr>
        <xdr:cNvPr id="83" name="Line 131"/>
        <xdr:cNvSpPr>
          <a:spLocks/>
        </xdr:cNvSpPr>
      </xdr:nvSpPr>
      <xdr:spPr>
        <a:xfrm>
          <a:off x="114300" y="310419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186</xdr:row>
      <xdr:rowOff>0</xdr:rowOff>
    </xdr:from>
    <xdr:to>
      <xdr:col>0</xdr:col>
      <xdr:colOff>123825</xdr:colOff>
      <xdr:row>188</xdr:row>
      <xdr:rowOff>0</xdr:rowOff>
    </xdr:to>
    <xdr:sp>
      <xdr:nvSpPr>
        <xdr:cNvPr id="84" name="Line 132"/>
        <xdr:cNvSpPr>
          <a:spLocks/>
        </xdr:cNvSpPr>
      </xdr:nvSpPr>
      <xdr:spPr>
        <a:xfrm flipV="1">
          <a:off x="123825" y="30537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188</xdr:row>
      <xdr:rowOff>133350</xdr:rowOff>
    </xdr:from>
    <xdr:to>
      <xdr:col>2</xdr:col>
      <xdr:colOff>38100</xdr:colOff>
      <xdr:row>190</xdr:row>
      <xdr:rowOff>123825</xdr:rowOff>
    </xdr:to>
    <xdr:sp>
      <xdr:nvSpPr>
        <xdr:cNvPr id="85" name="Rectangle 133"/>
        <xdr:cNvSpPr>
          <a:spLocks/>
        </xdr:cNvSpPr>
      </xdr:nvSpPr>
      <xdr:spPr>
        <a:xfrm>
          <a:off x="1181100" y="30994350"/>
          <a:ext cx="762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186</xdr:row>
      <xdr:rowOff>0</xdr:rowOff>
    </xdr:from>
    <xdr:to>
      <xdr:col>2</xdr:col>
      <xdr:colOff>200025</xdr:colOff>
      <xdr:row>188</xdr:row>
      <xdr:rowOff>9525</xdr:rowOff>
    </xdr:to>
    <xdr:sp>
      <xdr:nvSpPr>
        <xdr:cNvPr id="86" name="Line 135"/>
        <xdr:cNvSpPr>
          <a:spLocks/>
        </xdr:cNvSpPr>
      </xdr:nvSpPr>
      <xdr:spPr>
        <a:xfrm>
          <a:off x="1419225" y="305371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186</xdr:row>
      <xdr:rowOff>0</xdr:rowOff>
    </xdr:from>
    <xdr:to>
      <xdr:col>0</xdr:col>
      <xdr:colOff>266700</xdr:colOff>
      <xdr:row>186</xdr:row>
      <xdr:rowOff>0</xdr:rowOff>
    </xdr:to>
    <xdr:sp>
      <xdr:nvSpPr>
        <xdr:cNvPr id="87" name="Line 136"/>
        <xdr:cNvSpPr>
          <a:spLocks/>
        </xdr:cNvSpPr>
      </xdr:nvSpPr>
      <xdr:spPr>
        <a:xfrm>
          <a:off x="19050" y="305371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186</xdr:row>
      <xdr:rowOff>0</xdr:rowOff>
    </xdr:from>
    <xdr:to>
      <xdr:col>2</xdr:col>
      <xdr:colOff>352425</xdr:colOff>
      <xdr:row>186</xdr:row>
      <xdr:rowOff>0</xdr:rowOff>
    </xdr:to>
    <xdr:sp>
      <xdr:nvSpPr>
        <xdr:cNvPr id="88" name="Line 137"/>
        <xdr:cNvSpPr>
          <a:spLocks/>
        </xdr:cNvSpPr>
      </xdr:nvSpPr>
      <xdr:spPr>
        <a:xfrm>
          <a:off x="1276350" y="305371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133350</xdr:rowOff>
    </xdr:from>
    <xdr:to>
      <xdr:col>2</xdr:col>
      <xdr:colOff>9525</xdr:colOff>
      <xdr:row>191</xdr:row>
      <xdr:rowOff>152400</xdr:rowOff>
    </xdr:to>
    <xdr:sp>
      <xdr:nvSpPr>
        <xdr:cNvPr id="89" name="Line 138"/>
        <xdr:cNvSpPr>
          <a:spLocks/>
        </xdr:cNvSpPr>
      </xdr:nvSpPr>
      <xdr:spPr>
        <a:xfrm flipH="1">
          <a:off x="1219200" y="3131820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191</xdr:row>
      <xdr:rowOff>9525</xdr:rowOff>
    </xdr:from>
    <xdr:to>
      <xdr:col>2</xdr:col>
      <xdr:colOff>457200</xdr:colOff>
      <xdr:row>192</xdr:row>
      <xdr:rowOff>0</xdr:rowOff>
    </xdr:to>
    <xdr:sp>
      <xdr:nvSpPr>
        <xdr:cNvPr id="90" name="Line 139"/>
        <xdr:cNvSpPr>
          <a:spLocks/>
        </xdr:cNvSpPr>
      </xdr:nvSpPr>
      <xdr:spPr>
        <a:xfrm>
          <a:off x="1666875" y="3135630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183</xdr:row>
      <xdr:rowOff>152400</xdr:rowOff>
    </xdr:from>
    <xdr:to>
      <xdr:col>5</xdr:col>
      <xdr:colOff>0</xdr:colOff>
      <xdr:row>185</xdr:row>
      <xdr:rowOff>9525</xdr:rowOff>
    </xdr:to>
    <xdr:sp>
      <xdr:nvSpPr>
        <xdr:cNvPr id="91" name="Line 140"/>
        <xdr:cNvSpPr>
          <a:spLocks/>
        </xdr:cNvSpPr>
      </xdr:nvSpPr>
      <xdr:spPr>
        <a:xfrm>
          <a:off x="2886075" y="30203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184</xdr:row>
      <xdr:rowOff>38100</xdr:rowOff>
    </xdr:from>
    <xdr:to>
      <xdr:col>5</xdr:col>
      <xdr:colOff>447675</xdr:colOff>
      <xdr:row>184</xdr:row>
      <xdr:rowOff>152400</xdr:rowOff>
    </xdr:to>
    <xdr:sp>
      <xdr:nvSpPr>
        <xdr:cNvPr id="92" name="Line 141"/>
        <xdr:cNvSpPr>
          <a:spLocks/>
        </xdr:cNvSpPr>
      </xdr:nvSpPr>
      <xdr:spPr>
        <a:xfrm>
          <a:off x="3333750" y="30251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188</xdr:row>
      <xdr:rowOff>142875</xdr:rowOff>
    </xdr:from>
    <xdr:to>
      <xdr:col>2</xdr:col>
      <xdr:colOff>533400</xdr:colOff>
      <xdr:row>189</xdr:row>
      <xdr:rowOff>66675</xdr:rowOff>
    </xdr:to>
    <xdr:sp>
      <xdr:nvSpPr>
        <xdr:cNvPr id="93" name="Arc 142"/>
        <xdr:cNvSpPr>
          <a:spLocks/>
        </xdr:cNvSpPr>
      </xdr:nvSpPr>
      <xdr:spPr>
        <a:xfrm>
          <a:off x="1666875" y="31003875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189</xdr:row>
      <xdr:rowOff>66675</xdr:rowOff>
    </xdr:from>
    <xdr:to>
      <xdr:col>2</xdr:col>
      <xdr:colOff>523875</xdr:colOff>
      <xdr:row>190</xdr:row>
      <xdr:rowOff>9525</xdr:rowOff>
    </xdr:to>
    <xdr:sp>
      <xdr:nvSpPr>
        <xdr:cNvPr id="94" name="Arc 143"/>
        <xdr:cNvSpPr>
          <a:spLocks/>
        </xdr:cNvSpPr>
      </xdr:nvSpPr>
      <xdr:spPr>
        <a:xfrm flipV="1">
          <a:off x="1676400" y="31089600"/>
          <a:ext cx="66675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186</xdr:row>
      <xdr:rowOff>9525</xdr:rowOff>
    </xdr:from>
    <xdr:to>
      <xdr:col>2</xdr:col>
      <xdr:colOff>47625</xdr:colOff>
      <xdr:row>186</xdr:row>
      <xdr:rowOff>9525</xdr:rowOff>
    </xdr:to>
    <xdr:sp>
      <xdr:nvSpPr>
        <xdr:cNvPr id="95" name="Line 144"/>
        <xdr:cNvSpPr>
          <a:spLocks/>
        </xdr:cNvSpPr>
      </xdr:nvSpPr>
      <xdr:spPr>
        <a:xfrm>
          <a:off x="714375" y="305466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186</xdr:row>
      <xdr:rowOff>0</xdr:rowOff>
    </xdr:from>
    <xdr:to>
      <xdr:col>0</xdr:col>
      <xdr:colOff>333375</xdr:colOff>
      <xdr:row>186</xdr:row>
      <xdr:rowOff>9525</xdr:rowOff>
    </xdr:to>
    <xdr:sp>
      <xdr:nvSpPr>
        <xdr:cNvPr id="96" name="Line 145"/>
        <xdr:cNvSpPr>
          <a:spLocks/>
        </xdr:cNvSpPr>
      </xdr:nvSpPr>
      <xdr:spPr>
        <a:xfrm flipV="1">
          <a:off x="200025" y="30537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186</xdr:row>
      <xdr:rowOff>9525</xdr:rowOff>
    </xdr:from>
    <xdr:to>
      <xdr:col>1</xdr:col>
      <xdr:colOff>200025</xdr:colOff>
      <xdr:row>186</xdr:row>
      <xdr:rowOff>9525</xdr:rowOff>
    </xdr:to>
    <xdr:sp>
      <xdr:nvSpPr>
        <xdr:cNvPr id="97" name="Line 146"/>
        <xdr:cNvSpPr>
          <a:spLocks/>
        </xdr:cNvSpPr>
      </xdr:nvSpPr>
      <xdr:spPr>
        <a:xfrm>
          <a:off x="304800" y="3054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267</xdr:row>
      <xdr:rowOff>76200</xdr:rowOff>
    </xdr:from>
    <xdr:to>
      <xdr:col>3</xdr:col>
      <xdr:colOff>295275</xdr:colOff>
      <xdr:row>268</xdr:row>
      <xdr:rowOff>0</xdr:rowOff>
    </xdr:to>
    <xdr:sp>
      <xdr:nvSpPr>
        <xdr:cNvPr id="98" name="Arc 147"/>
        <xdr:cNvSpPr>
          <a:spLocks/>
        </xdr:cNvSpPr>
      </xdr:nvSpPr>
      <xdr:spPr>
        <a:xfrm flipH="1">
          <a:off x="2019300" y="43748325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267</xdr:row>
      <xdr:rowOff>85725</xdr:rowOff>
    </xdr:from>
    <xdr:to>
      <xdr:col>4</xdr:col>
      <xdr:colOff>504825</xdr:colOff>
      <xdr:row>268</xdr:row>
      <xdr:rowOff>9525</xdr:rowOff>
    </xdr:to>
    <xdr:sp>
      <xdr:nvSpPr>
        <xdr:cNvPr id="99" name="Arc 149"/>
        <xdr:cNvSpPr>
          <a:spLocks/>
        </xdr:cNvSpPr>
      </xdr:nvSpPr>
      <xdr:spPr>
        <a:xfrm flipH="1">
          <a:off x="2676525" y="4375785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267</xdr:row>
      <xdr:rowOff>85725</xdr:rowOff>
    </xdr:from>
    <xdr:to>
      <xdr:col>5</xdr:col>
      <xdr:colOff>123825</xdr:colOff>
      <xdr:row>268</xdr:row>
      <xdr:rowOff>9525</xdr:rowOff>
    </xdr:to>
    <xdr:sp>
      <xdr:nvSpPr>
        <xdr:cNvPr id="100" name="Arc 150"/>
        <xdr:cNvSpPr>
          <a:spLocks/>
        </xdr:cNvSpPr>
      </xdr:nvSpPr>
      <xdr:spPr>
        <a:xfrm flipH="1">
          <a:off x="2905125" y="4375785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267</xdr:row>
      <xdr:rowOff>85725</xdr:rowOff>
    </xdr:from>
    <xdr:to>
      <xdr:col>3</xdr:col>
      <xdr:colOff>400050</xdr:colOff>
      <xdr:row>268</xdr:row>
      <xdr:rowOff>9525</xdr:rowOff>
    </xdr:to>
    <xdr:sp>
      <xdr:nvSpPr>
        <xdr:cNvPr id="101" name="Arc 151"/>
        <xdr:cNvSpPr>
          <a:spLocks/>
        </xdr:cNvSpPr>
      </xdr:nvSpPr>
      <xdr:spPr>
        <a:xfrm>
          <a:off x="2133600" y="43757850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267</xdr:row>
      <xdr:rowOff>85725</xdr:rowOff>
    </xdr:from>
    <xdr:to>
      <xdr:col>5</xdr:col>
      <xdr:colOff>9525</xdr:colOff>
      <xdr:row>268</xdr:row>
      <xdr:rowOff>9525</xdr:rowOff>
    </xdr:to>
    <xdr:sp>
      <xdr:nvSpPr>
        <xdr:cNvPr id="102" name="Arc 153"/>
        <xdr:cNvSpPr>
          <a:spLocks/>
        </xdr:cNvSpPr>
      </xdr:nvSpPr>
      <xdr:spPr>
        <a:xfrm>
          <a:off x="2800350" y="43757850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267</xdr:row>
      <xdr:rowOff>85725</xdr:rowOff>
    </xdr:from>
    <xdr:to>
      <xdr:col>5</xdr:col>
      <xdr:colOff>228600</xdr:colOff>
      <xdr:row>268</xdr:row>
      <xdr:rowOff>9525</xdr:rowOff>
    </xdr:to>
    <xdr:sp>
      <xdr:nvSpPr>
        <xdr:cNvPr id="103" name="Arc 154"/>
        <xdr:cNvSpPr>
          <a:spLocks/>
        </xdr:cNvSpPr>
      </xdr:nvSpPr>
      <xdr:spPr>
        <a:xfrm>
          <a:off x="3019425" y="43757850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267</xdr:row>
      <xdr:rowOff>104775</xdr:rowOff>
    </xdr:from>
    <xdr:to>
      <xdr:col>3</xdr:col>
      <xdr:colOff>57150</xdr:colOff>
      <xdr:row>268</xdr:row>
      <xdr:rowOff>57150</xdr:rowOff>
    </xdr:to>
    <xdr:sp>
      <xdr:nvSpPr>
        <xdr:cNvPr id="104" name="Rectangle 155"/>
        <xdr:cNvSpPr>
          <a:spLocks/>
        </xdr:cNvSpPr>
      </xdr:nvSpPr>
      <xdr:spPr>
        <a:xfrm>
          <a:off x="1552575" y="43776900"/>
          <a:ext cx="3333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268</xdr:row>
      <xdr:rowOff>0</xdr:rowOff>
    </xdr:from>
    <xdr:to>
      <xdr:col>3</xdr:col>
      <xdr:colOff>190500</xdr:colOff>
      <xdr:row>268</xdr:row>
      <xdr:rowOff>0</xdr:rowOff>
    </xdr:to>
    <xdr:sp>
      <xdr:nvSpPr>
        <xdr:cNvPr id="105" name="Line 156"/>
        <xdr:cNvSpPr>
          <a:spLocks/>
        </xdr:cNvSpPr>
      </xdr:nvSpPr>
      <xdr:spPr>
        <a:xfrm>
          <a:off x="1905000" y="43834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270</xdr:row>
      <xdr:rowOff>9525</xdr:rowOff>
    </xdr:from>
    <xdr:to>
      <xdr:col>4</xdr:col>
      <xdr:colOff>419100</xdr:colOff>
      <xdr:row>270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2286000" y="441674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142875</xdr:rowOff>
    </xdr:from>
    <xdr:to>
      <xdr:col>4</xdr:col>
      <xdr:colOff>19050</xdr:colOff>
      <xdr:row>270</xdr:row>
      <xdr:rowOff>142875</xdr:rowOff>
    </xdr:to>
    <xdr:sp>
      <xdr:nvSpPr>
        <xdr:cNvPr id="107" name="Line 160"/>
        <xdr:cNvSpPr>
          <a:spLocks/>
        </xdr:cNvSpPr>
      </xdr:nvSpPr>
      <xdr:spPr>
        <a:xfrm flipH="1">
          <a:off x="2276475" y="44300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133350</xdr:rowOff>
    </xdr:to>
    <xdr:sp>
      <xdr:nvSpPr>
        <xdr:cNvPr id="108" name="Line 161"/>
        <xdr:cNvSpPr>
          <a:spLocks/>
        </xdr:cNvSpPr>
      </xdr:nvSpPr>
      <xdr:spPr>
        <a:xfrm>
          <a:off x="2276475" y="44157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272</xdr:row>
      <xdr:rowOff>133350</xdr:rowOff>
    </xdr:from>
    <xdr:to>
      <xdr:col>4</xdr:col>
      <xdr:colOff>0</xdr:colOff>
      <xdr:row>274</xdr:row>
      <xdr:rowOff>19050</xdr:rowOff>
    </xdr:to>
    <xdr:sp>
      <xdr:nvSpPr>
        <xdr:cNvPr id="109" name="Line 162"/>
        <xdr:cNvSpPr>
          <a:spLocks/>
        </xdr:cNvSpPr>
      </xdr:nvSpPr>
      <xdr:spPr>
        <a:xfrm>
          <a:off x="2276475" y="44615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270</xdr:row>
      <xdr:rowOff>9525</xdr:rowOff>
    </xdr:from>
    <xdr:to>
      <xdr:col>4</xdr:col>
      <xdr:colOff>409575</xdr:colOff>
      <xdr:row>270</xdr:row>
      <xdr:rowOff>152400</xdr:rowOff>
    </xdr:to>
    <xdr:sp>
      <xdr:nvSpPr>
        <xdr:cNvPr id="110" name="Line 163"/>
        <xdr:cNvSpPr>
          <a:spLocks/>
        </xdr:cNvSpPr>
      </xdr:nvSpPr>
      <xdr:spPr>
        <a:xfrm>
          <a:off x="2686050" y="44167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272</xdr:row>
      <xdr:rowOff>0</xdr:rowOff>
    </xdr:from>
    <xdr:to>
      <xdr:col>3</xdr:col>
      <xdr:colOff>447675</xdr:colOff>
      <xdr:row>272</xdr:row>
      <xdr:rowOff>85725</xdr:rowOff>
    </xdr:to>
    <xdr:sp>
      <xdr:nvSpPr>
        <xdr:cNvPr id="111" name="Arc 164"/>
        <xdr:cNvSpPr>
          <a:spLocks/>
        </xdr:cNvSpPr>
      </xdr:nvSpPr>
      <xdr:spPr>
        <a:xfrm>
          <a:off x="2276475" y="44481750"/>
          <a:ext cx="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270</xdr:row>
      <xdr:rowOff>142875</xdr:rowOff>
    </xdr:from>
    <xdr:to>
      <xdr:col>4</xdr:col>
      <xdr:colOff>495300</xdr:colOff>
      <xdr:row>271</xdr:row>
      <xdr:rowOff>66675</xdr:rowOff>
    </xdr:to>
    <xdr:sp>
      <xdr:nvSpPr>
        <xdr:cNvPr id="112" name="Arc 165"/>
        <xdr:cNvSpPr>
          <a:spLocks/>
        </xdr:cNvSpPr>
      </xdr:nvSpPr>
      <xdr:spPr>
        <a:xfrm>
          <a:off x="2686050" y="44300775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271</xdr:row>
      <xdr:rowOff>57150</xdr:rowOff>
    </xdr:from>
    <xdr:to>
      <xdr:col>4</xdr:col>
      <xdr:colOff>495300</xdr:colOff>
      <xdr:row>272</xdr:row>
      <xdr:rowOff>0</xdr:rowOff>
    </xdr:to>
    <xdr:sp>
      <xdr:nvSpPr>
        <xdr:cNvPr id="113" name="Arc 166"/>
        <xdr:cNvSpPr>
          <a:spLocks/>
        </xdr:cNvSpPr>
      </xdr:nvSpPr>
      <xdr:spPr>
        <a:xfrm flipV="1">
          <a:off x="2705100" y="44376975"/>
          <a:ext cx="66675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272</xdr:row>
      <xdr:rowOff>66675</xdr:rowOff>
    </xdr:from>
    <xdr:to>
      <xdr:col>3</xdr:col>
      <xdr:colOff>447675</xdr:colOff>
      <xdr:row>273</xdr:row>
      <xdr:rowOff>9525</xdr:rowOff>
    </xdr:to>
    <xdr:sp>
      <xdr:nvSpPr>
        <xdr:cNvPr id="114" name="Arc 167"/>
        <xdr:cNvSpPr>
          <a:spLocks/>
        </xdr:cNvSpPr>
      </xdr:nvSpPr>
      <xdr:spPr>
        <a:xfrm flipV="1">
          <a:off x="2276475" y="44548425"/>
          <a:ext cx="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273</xdr:row>
      <xdr:rowOff>0</xdr:rowOff>
    </xdr:from>
    <xdr:to>
      <xdr:col>4</xdr:col>
      <xdr:colOff>447675</xdr:colOff>
      <xdr:row>274</xdr:row>
      <xdr:rowOff>9525</xdr:rowOff>
    </xdr:to>
    <xdr:sp>
      <xdr:nvSpPr>
        <xdr:cNvPr id="115" name="Line 168"/>
        <xdr:cNvSpPr>
          <a:spLocks/>
        </xdr:cNvSpPr>
      </xdr:nvSpPr>
      <xdr:spPr>
        <a:xfrm>
          <a:off x="2724150" y="446436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270</xdr:row>
      <xdr:rowOff>133350</xdr:rowOff>
    </xdr:from>
    <xdr:to>
      <xdr:col>6</xdr:col>
      <xdr:colOff>333375</xdr:colOff>
      <xdr:row>272</xdr:row>
      <xdr:rowOff>133350</xdr:rowOff>
    </xdr:to>
    <xdr:sp>
      <xdr:nvSpPr>
        <xdr:cNvPr id="116" name="Rectangle 169"/>
        <xdr:cNvSpPr>
          <a:spLocks/>
        </xdr:cNvSpPr>
      </xdr:nvSpPr>
      <xdr:spPr>
        <a:xfrm>
          <a:off x="3705225" y="44291250"/>
          <a:ext cx="123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268</xdr:row>
      <xdr:rowOff>9525</xdr:rowOff>
    </xdr:from>
    <xdr:to>
      <xdr:col>6</xdr:col>
      <xdr:colOff>238125</xdr:colOff>
      <xdr:row>270</xdr:row>
      <xdr:rowOff>142875</xdr:rowOff>
    </xdr:to>
    <xdr:sp>
      <xdr:nvSpPr>
        <xdr:cNvPr id="117" name="Line 170"/>
        <xdr:cNvSpPr>
          <a:spLocks/>
        </xdr:cNvSpPr>
      </xdr:nvSpPr>
      <xdr:spPr>
        <a:xfrm>
          <a:off x="3733800" y="438435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272</xdr:row>
      <xdr:rowOff>133350</xdr:rowOff>
    </xdr:from>
    <xdr:to>
      <xdr:col>6</xdr:col>
      <xdr:colOff>285750</xdr:colOff>
      <xdr:row>274</xdr:row>
      <xdr:rowOff>0</xdr:rowOff>
    </xdr:to>
    <xdr:sp>
      <xdr:nvSpPr>
        <xdr:cNvPr id="118" name="Line 171"/>
        <xdr:cNvSpPr>
          <a:spLocks/>
        </xdr:cNvSpPr>
      </xdr:nvSpPr>
      <xdr:spPr>
        <a:xfrm>
          <a:off x="3781425" y="446151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270</xdr:row>
      <xdr:rowOff>142875</xdr:rowOff>
    </xdr:from>
    <xdr:to>
      <xdr:col>6</xdr:col>
      <xdr:colOff>514350</xdr:colOff>
      <xdr:row>272</xdr:row>
      <xdr:rowOff>76200</xdr:rowOff>
    </xdr:to>
    <xdr:sp>
      <xdr:nvSpPr>
        <xdr:cNvPr id="119" name="Line 172"/>
        <xdr:cNvSpPr>
          <a:spLocks/>
        </xdr:cNvSpPr>
      </xdr:nvSpPr>
      <xdr:spPr>
        <a:xfrm flipV="1">
          <a:off x="3581400" y="44300775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267</xdr:row>
      <xdr:rowOff>152400</xdr:rowOff>
    </xdr:from>
    <xdr:to>
      <xdr:col>2</xdr:col>
      <xdr:colOff>123825</xdr:colOff>
      <xdr:row>270</xdr:row>
      <xdr:rowOff>9525</xdr:rowOff>
    </xdr:to>
    <xdr:sp>
      <xdr:nvSpPr>
        <xdr:cNvPr id="120" name="Line 173"/>
        <xdr:cNvSpPr>
          <a:spLocks/>
        </xdr:cNvSpPr>
      </xdr:nvSpPr>
      <xdr:spPr>
        <a:xfrm flipV="1">
          <a:off x="1343025" y="43824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271</xdr:row>
      <xdr:rowOff>0</xdr:rowOff>
    </xdr:from>
    <xdr:to>
      <xdr:col>2</xdr:col>
      <xdr:colOff>133350</xdr:colOff>
      <xdr:row>273</xdr:row>
      <xdr:rowOff>152400</xdr:rowOff>
    </xdr:to>
    <xdr:sp>
      <xdr:nvSpPr>
        <xdr:cNvPr id="121" name="Line 174"/>
        <xdr:cNvSpPr>
          <a:spLocks/>
        </xdr:cNvSpPr>
      </xdr:nvSpPr>
      <xdr:spPr>
        <a:xfrm flipV="1">
          <a:off x="1352550" y="443198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268</xdr:row>
      <xdr:rowOff>9525</xdr:rowOff>
    </xdr:from>
    <xdr:to>
      <xdr:col>2</xdr:col>
      <xdr:colOff>323850</xdr:colOff>
      <xdr:row>268</xdr:row>
      <xdr:rowOff>9525</xdr:rowOff>
    </xdr:to>
    <xdr:sp>
      <xdr:nvSpPr>
        <xdr:cNvPr id="122" name="Line 175"/>
        <xdr:cNvSpPr>
          <a:spLocks/>
        </xdr:cNvSpPr>
      </xdr:nvSpPr>
      <xdr:spPr>
        <a:xfrm>
          <a:off x="1209675" y="43843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268</xdr:row>
      <xdr:rowOff>0</xdr:rowOff>
    </xdr:from>
    <xdr:to>
      <xdr:col>4</xdr:col>
      <xdr:colOff>200025</xdr:colOff>
      <xdr:row>270</xdr:row>
      <xdr:rowOff>9525</xdr:rowOff>
    </xdr:to>
    <xdr:sp>
      <xdr:nvSpPr>
        <xdr:cNvPr id="123" name="Line 177"/>
        <xdr:cNvSpPr>
          <a:spLocks/>
        </xdr:cNvSpPr>
      </xdr:nvSpPr>
      <xdr:spPr>
        <a:xfrm>
          <a:off x="2476500" y="43834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272</xdr:row>
      <xdr:rowOff>152400</xdr:rowOff>
    </xdr:from>
    <xdr:to>
      <xdr:col>4</xdr:col>
      <xdr:colOff>0</xdr:colOff>
      <xdr:row>274</xdr:row>
      <xdr:rowOff>9525</xdr:rowOff>
    </xdr:to>
    <xdr:sp>
      <xdr:nvSpPr>
        <xdr:cNvPr id="124" name="Line 178"/>
        <xdr:cNvSpPr>
          <a:spLocks/>
        </xdr:cNvSpPr>
      </xdr:nvSpPr>
      <xdr:spPr>
        <a:xfrm>
          <a:off x="2276475" y="446341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273</xdr:row>
      <xdr:rowOff>38100</xdr:rowOff>
    </xdr:from>
    <xdr:to>
      <xdr:col>4</xdr:col>
      <xdr:colOff>447675</xdr:colOff>
      <xdr:row>273</xdr:row>
      <xdr:rowOff>152400</xdr:rowOff>
    </xdr:to>
    <xdr:sp>
      <xdr:nvSpPr>
        <xdr:cNvPr id="125" name="Line 179"/>
        <xdr:cNvSpPr>
          <a:spLocks/>
        </xdr:cNvSpPr>
      </xdr:nvSpPr>
      <xdr:spPr>
        <a:xfrm>
          <a:off x="2724150" y="44681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179</xdr:row>
      <xdr:rowOff>114300</xdr:rowOff>
    </xdr:from>
    <xdr:to>
      <xdr:col>5</xdr:col>
      <xdr:colOff>581025</xdr:colOff>
      <xdr:row>180</xdr:row>
      <xdr:rowOff>38100</xdr:rowOff>
    </xdr:to>
    <xdr:sp>
      <xdr:nvSpPr>
        <xdr:cNvPr id="126" name="Arc 180"/>
        <xdr:cNvSpPr>
          <a:spLocks/>
        </xdr:cNvSpPr>
      </xdr:nvSpPr>
      <xdr:spPr>
        <a:xfrm>
          <a:off x="3371850" y="29517975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273</xdr:row>
      <xdr:rowOff>152400</xdr:rowOff>
    </xdr:from>
    <xdr:to>
      <xdr:col>6</xdr:col>
      <xdr:colOff>276225</xdr:colOff>
      <xdr:row>274</xdr:row>
      <xdr:rowOff>0</xdr:rowOff>
    </xdr:to>
    <xdr:sp>
      <xdr:nvSpPr>
        <xdr:cNvPr id="127" name="Line 185"/>
        <xdr:cNvSpPr>
          <a:spLocks/>
        </xdr:cNvSpPr>
      </xdr:nvSpPr>
      <xdr:spPr>
        <a:xfrm flipV="1">
          <a:off x="1219200" y="44796075"/>
          <a:ext cx="2552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267</xdr:row>
      <xdr:rowOff>123825</xdr:rowOff>
    </xdr:from>
    <xdr:to>
      <xdr:col>6</xdr:col>
      <xdr:colOff>0</xdr:colOff>
      <xdr:row>268</xdr:row>
      <xdr:rowOff>38100</xdr:rowOff>
    </xdr:to>
    <xdr:sp>
      <xdr:nvSpPr>
        <xdr:cNvPr id="128" name="Rectangle 186"/>
        <xdr:cNvSpPr>
          <a:spLocks/>
        </xdr:cNvSpPr>
      </xdr:nvSpPr>
      <xdr:spPr>
        <a:xfrm>
          <a:off x="3219450" y="43795950"/>
          <a:ext cx="2762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268</xdr:row>
      <xdr:rowOff>9525</xdr:rowOff>
    </xdr:from>
    <xdr:to>
      <xdr:col>5</xdr:col>
      <xdr:colOff>333375</xdr:colOff>
      <xdr:row>268</xdr:row>
      <xdr:rowOff>9525</xdr:rowOff>
    </xdr:to>
    <xdr:sp>
      <xdr:nvSpPr>
        <xdr:cNvPr id="129" name="Line 187"/>
        <xdr:cNvSpPr>
          <a:spLocks/>
        </xdr:cNvSpPr>
      </xdr:nvSpPr>
      <xdr:spPr>
        <a:xfrm>
          <a:off x="3133725" y="43843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268</xdr:row>
      <xdr:rowOff>9525</xdr:rowOff>
    </xdr:from>
    <xdr:to>
      <xdr:col>6</xdr:col>
      <xdr:colOff>228600</xdr:colOff>
      <xdr:row>268</xdr:row>
      <xdr:rowOff>9525</xdr:rowOff>
    </xdr:to>
    <xdr:sp>
      <xdr:nvSpPr>
        <xdr:cNvPr id="130" name="Line 188"/>
        <xdr:cNvSpPr>
          <a:spLocks/>
        </xdr:cNvSpPr>
      </xdr:nvSpPr>
      <xdr:spPr>
        <a:xfrm>
          <a:off x="3505200" y="43843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268</xdr:row>
      <xdr:rowOff>0</xdr:rowOff>
    </xdr:from>
    <xdr:to>
      <xdr:col>4</xdr:col>
      <xdr:colOff>0</xdr:colOff>
      <xdr:row>268</xdr:row>
      <xdr:rowOff>9525</xdr:rowOff>
    </xdr:to>
    <xdr:sp>
      <xdr:nvSpPr>
        <xdr:cNvPr id="131" name="Line 192"/>
        <xdr:cNvSpPr>
          <a:spLocks/>
        </xdr:cNvSpPr>
      </xdr:nvSpPr>
      <xdr:spPr>
        <a:xfrm flipH="1" flipV="1">
          <a:off x="2276475" y="4383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9525</xdr:rowOff>
    </xdr:from>
    <xdr:to>
      <xdr:col>2</xdr:col>
      <xdr:colOff>561975</xdr:colOff>
      <xdr:row>348</xdr:row>
      <xdr:rowOff>9525</xdr:rowOff>
    </xdr:to>
    <xdr:sp>
      <xdr:nvSpPr>
        <xdr:cNvPr id="132" name="Line 195"/>
        <xdr:cNvSpPr>
          <a:spLocks/>
        </xdr:cNvSpPr>
      </xdr:nvSpPr>
      <xdr:spPr>
        <a:xfrm>
          <a:off x="1219200" y="56835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347</xdr:row>
      <xdr:rowOff>123825</xdr:rowOff>
    </xdr:from>
    <xdr:to>
      <xdr:col>3</xdr:col>
      <xdr:colOff>304800</xdr:colOff>
      <xdr:row>348</xdr:row>
      <xdr:rowOff>38100</xdr:rowOff>
    </xdr:to>
    <xdr:sp>
      <xdr:nvSpPr>
        <xdr:cNvPr id="133" name="Rectangle 196"/>
        <xdr:cNvSpPr>
          <a:spLocks/>
        </xdr:cNvSpPr>
      </xdr:nvSpPr>
      <xdr:spPr>
        <a:xfrm>
          <a:off x="1771650" y="56788050"/>
          <a:ext cx="3619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347</xdr:row>
      <xdr:rowOff>104775</xdr:rowOff>
    </xdr:from>
    <xdr:to>
      <xdr:col>4</xdr:col>
      <xdr:colOff>133350</xdr:colOff>
      <xdr:row>348</xdr:row>
      <xdr:rowOff>19050</xdr:rowOff>
    </xdr:to>
    <xdr:sp>
      <xdr:nvSpPr>
        <xdr:cNvPr id="134" name="Arc 203"/>
        <xdr:cNvSpPr>
          <a:spLocks/>
        </xdr:cNvSpPr>
      </xdr:nvSpPr>
      <xdr:spPr>
        <a:xfrm>
          <a:off x="2324100" y="567690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347</xdr:row>
      <xdr:rowOff>95250</xdr:rowOff>
    </xdr:from>
    <xdr:to>
      <xdr:col>4</xdr:col>
      <xdr:colOff>342900</xdr:colOff>
      <xdr:row>348</xdr:row>
      <xdr:rowOff>9525</xdr:rowOff>
    </xdr:to>
    <xdr:sp>
      <xdr:nvSpPr>
        <xdr:cNvPr id="135" name="Arc 205"/>
        <xdr:cNvSpPr>
          <a:spLocks/>
        </xdr:cNvSpPr>
      </xdr:nvSpPr>
      <xdr:spPr>
        <a:xfrm>
          <a:off x="2533650" y="567594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347</xdr:row>
      <xdr:rowOff>95250</xdr:rowOff>
    </xdr:from>
    <xdr:to>
      <xdr:col>6</xdr:col>
      <xdr:colOff>381000</xdr:colOff>
      <xdr:row>348</xdr:row>
      <xdr:rowOff>9525</xdr:rowOff>
    </xdr:to>
    <xdr:sp>
      <xdr:nvSpPr>
        <xdr:cNvPr id="136" name="Arc 207"/>
        <xdr:cNvSpPr>
          <a:spLocks/>
        </xdr:cNvSpPr>
      </xdr:nvSpPr>
      <xdr:spPr>
        <a:xfrm>
          <a:off x="3790950" y="567594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347</xdr:row>
      <xdr:rowOff>95250</xdr:rowOff>
    </xdr:from>
    <xdr:to>
      <xdr:col>6</xdr:col>
      <xdr:colOff>180975</xdr:colOff>
      <xdr:row>348</xdr:row>
      <xdr:rowOff>9525</xdr:rowOff>
    </xdr:to>
    <xdr:sp>
      <xdr:nvSpPr>
        <xdr:cNvPr id="137" name="Arc 208"/>
        <xdr:cNvSpPr>
          <a:spLocks/>
        </xdr:cNvSpPr>
      </xdr:nvSpPr>
      <xdr:spPr>
        <a:xfrm>
          <a:off x="3590925" y="567594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347</xdr:row>
      <xdr:rowOff>95250</xdr:rowOff>
    </xdr:from>
    <xdr:to>
      <xdr:col>6</xdr:col>
      <xdr:colOff>276225</xdr:colOff>
      <xdr:row>348</xdr:row>
      <xdr:rowOff>9525</xdr:rowOff>
    </xdr:to>
    <xdr:sp>
      <xdr:nvSpPr>
        <xdr:cNvPr id="138" name="Arc 209"/>
        <xdr:cNvSpPr>
          <a:spLocks/>
        </xdr:cNvSpPr>
      </xdr:nvSpPr>
      <xdr:spPr>
        <a:xfrm flipH="1">
          <a:off x="3686175" y="567594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347</xdr:row>
      <xdr:rowOff>104775</xdr:rowOff>
    </xdr:from>
    <xdr:to>
      <xdr:col>6</xdr:col>
      <xdr:colOff>76200</xdr:colOff>
      <xdr:row>348</xdr:row>
      <xdr:rowOff>19050</xdr:rowOff>
    </xdr:to>
    <xdr:sp>
      <xdr:nvSpPr>
        <xdr:cNvPr id="139" name="Arc 210"/>
        <xdr:cNvSpPr>
          <a:spLocks/>
        </xdr:cNvSpPr>
      </xdr:nvSpPr>
      <xdr:spPr>
        <a:xfrm flipH="1">
          <a:off x="3486150" y="567690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347</xdr:row>
      <xdr:rowOff>95250</xdr:rowOff>
    </xdr:from>
    <xdr:to>
      <xdr:col>4</xdr:col>
      <xdr:colOff>28575</xdr:colOff>
      <xdr:row>348</xdr:row>
      <xdr:rowOff>9525</xdr:rowOff>
    </xdr:to>
    <xdr:sp>
      <xdr:nvSpPr>
        <xdr:cNvPr id="140" name="Arc 211"/>
        <xdr:cNvSpPr>
          <a:spLocks/>
        </xdr:cNvSpPr>
      </xdr:nvSpPr>
      <xdr:spPr>
        <a:xfrm flipH="1">
          <a:off x="2276475" y="56759475"/>
          <a:ext cx="285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347</xdr:row>
      <xdr:rowOff>95250</xdr:rowOff>
    </xdr:from>
    <xdr:to>
      <xdr:col>4</xdr:col>
      <xdr:colOff>228600</xdr:colOff>
      <xdr:row>348</xdr:row>
      <xdr:rowOff>9525</xdr:rowOff>
    </xdr:to>
    <xdr:sp>
      <xdr:nvSpPr>
        <xdr:cNvPr id="141" name="Arc 212"/>
        <xdr:cNvSpPr>
          <a:spLocks/>
        </xdr:cNvSpPr>
      </xdr:nvSpPr>
      <xdr:spPr>
        <a:xfrm flipH="1">
          <a:off x="2419350" y="567594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352</xdr:row>
      <xdr:rowOff>19050</xdr:rowOff>
    </xdr:from>
    <xdr:to>
      <xdr:col>2</xdr:col>
      <xdr:colOff>590550</xdr:colOff>
      <xdr:row>352</xdr:row>
      <xdr:rowOff>95250</xdr:rowOff>
    </xdr:to>
    <xdr:sp>
      <xdr:nvSpPr>
        <xdr:cNvPr id="142" name="Arc 213"/>
        <xdr:cNvSpPr>
          <a:spLocks/>
        </xdr:cNvSpPr>
      </xdr:nvSpPr>
      <xdr:spPr>
        <a:xfrm flipH="1">
          <a:off x="1724025" y="574929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351</xdr:row>
      <xdr:rowOff>47625</xdr:rowOff>
    </xdr:from>
    <xdr:to>
      <xdr:col>2</xdr:col>
      <xdr:colOff>571500</xdr:colOff>
      <xdr:row>351</xdr:row>
      <xdr:rowOff>123825</xdr:rowOff>
    </xdr:to>
    <xdr:sp>
      <xdr:nvSpPr>
        <xdr:cNvPr id="143" name="Arc 214"/>
        <xdr:cNvSpPr>
          <a:spLocks/>
        </xdr:cNvSpPr>
      </xdr:nvSpPr>
      <xdr:spPr>
        <a:xfrm flipH="1">
          <a:off x="1704975" y="5735955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348</xdr:row>
      <xdr:rowOff>9525</xdr:rowOff>
    </xdr:from>
    <xdr:to>
      <xdr:col>3</xdr:col>
      <xdr:colOff>447675</xdr:colOff>
      <xdr:row>348</xdr:row>
      <xdr:rowOff>9525</xdr:rowOff>
    </xdr:to>
    <xdr:sp>
      <xdr:nvSpPr>
        <xdr:cNvPr id="144" name="Line 215"/>
        <xdr:cNvSpPr>
          <a:spLocks/>
        </xdr:cNvSpPr>
      </xdr:nvSpPr>
      <xdr:spPr>
        <a:xfrm>
          <a:off x="2143125" y="56835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348</xdr:row>
      <xdr:rowOff>0</xdr:rowOff>
    </xdr:from>
    <xdr:to>
      <xdr:col>5</xdr:col>
      <xdr:colOff>9525</xdr:colOff>
      <xdr:row>348</xdr:row>
      <xdr:rowOff>0</xdr:rowOff>
    </xdr:to>
    <xdr:sp>
      <xdr:nvSpPr>
        <xdr:cNvPr id="145" name="Line 216"/>
        <xdr:cNvSpPr>
          <a:spLocks/>
        </xdr:cNvSpPr>
      </xdr:nvSpPr>
      <xdr:spPr>
        <a:xfrm>
          <a:off x="2628900" y="56826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347</xdr:row>
      <xdr:rowOff>114300</xdr:rowOff>
    </xdr:from>
    <xdr:to>
      <xdr:col>5</xdr:col>
      <xdr:colOff>352425</xdr:colOff>
      <xdr:row>348</xdr:row>
      <xdr:rowOff>28575</xdr:rowOff>
    </xdr:to>
    <xdr:sp>
      <xdr:nvSpPr>
        <xdr:cNvPr id="146" name="Rectangle 217"/>
        <xdr:cNvSpPr>
          <a:spLocks/>
        </xdr:cNvSpPr>
      </xdr:nvSpPr>
      <xdr:spPr>
        <a:xfrm>
          <a:off x="2867025" y="56778525"/>
          <a:ext cx="3714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348</xdr:row>
      <xdr:rowOff>0</xdr:rowOff>
    </xdr:from>
    <xdr:to>
      <xdr:col>6</xdr:col>
      <xdr:colOff>0</xdr:colOff>
      <xdr:row>348</xdr:row>
      <xdr:rowOff>0</xdr:rowOff>
    </xdr:to>
    <xdr:sp>
      <xdr:nvSpPr>
        <xdr:cNvPr id="147" name="Line 218"/>
        <xdr:cNvSpPr>
          <a:spLocks/>
        </xdr:cNvSpPr>
      </xdr:nvSpPr>
      <xdr:spPr>
        <a:xfrm>
          <a:off x="3257550" y="56826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348</xdr:row>
      <xdr:rowOff>9525</xdr:rowOff>
    </xdr:from>
    <xdr:to>
      <xdr:col>7</xdr:col>
      <xdr:colOff>266700</xdr:colOff>
      <xdr:row>348</xdr:row>
      <xdr:rowOff>9525</xdr:rowOff>
    </xdr:to>
    <xdr:sp>
      <xdr:nvSpPr>
        <xdr:cNvPr id="148" name="Line 222"/>
        <xdr:cNvSpPr>
          <a:spLocks/>
        </xdr:cNvSpPr>
      </xdr:nvSpPr>
      <xdr:spPr>
        <a:xfrm>
          <a:off x="3857625" y="56835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348</xdr:row>
      <xdr:rowOff>0</xdr:rowOff>
    </xdr:from>
    <xdr:to>
      <xdr:col>7</xdr:col>
      <xdr:colOff>266700</xdr:colOff>
      <xdr:row>355</xdr:row>
      <xdr:rowOff>19050</xdr:rowOff>
    </xdr:to>
    <xdr:sp>
      <xdr:nvSpPr>
        <xdr:cNvPr id="149" name="Line 223"/>
        <xdr:cNvSpPr>
          <a:spLocks/>
        </xdr:cNvSpPr>
      </xdr:nvSpPr>
      <xdr:spPr>
        <a:xfrm>
          <a:off x="4371975" y="568261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348</xdr:row>
      <xdr:rowOff>9525</xdr:rowOff>
    </xdr:from>
    <xdr:to>
      <xdr:col>2</xdr:col>
      <xdr:colOff>438150</xdr:colOff>
      <xdr:row>350</xdr:row>
      <xdr:rowOff>9525</xdr:rowOff>
    </xdr:to>
    <xdr:sp>
      <xdr:nvSpPr>
        <xdr:cNvPr id="150" name="Line 224"/>
        <xdr:cNvSpPr>
          <a:spLocks/>
        </xdr:cNvSpPr>
      </xdr:nvSpPr>
      <xdr:spPr>
        <a:xfrm>
          <a:off x="1657350" y="56835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348</xdr:row>
      <xdr:rowOff>0</xdr:rowOff>
    </xdr:from>
    <xdr:to>
      <xdr:col>4</xdr:col>
      <xdr:colOff>485775</xdr:colOff>
      <xdr:row>350</xdr:row>
      <xdr:rowOff>0</xdr:rowOff>
    </xdr:to>
    <xdr:sp>
      <xdr:nvSpPr>
        <xdr:cNvPr id="151" name="Line 225"/>
        <xdr:cNvSpPr>
          <a:spLocks/>
        </xdr:cNvSpPr>
      </xdr:nvSpPr>
      <xdr:spPr>
        <a:xfrm>
          <a:off x="2762250" y="56826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350</xdr:row>
      <xdr:rowOff>9525</xdr:rowOff>
    </xdr:from>
    <xdr:to>
      <xdr:col>2</xdr:col>
      <xdr:colOff>590550</xdr:colOff>
      <xdr:row>350</xdr:row>
      <xdr:rowOff>9525</xdr:rowOff>
    </xdr:to>
    <xdr:sp>
      <xdr:nvSpPr>
        <xdr:cNvPr id="152" name="Line 226"/>
        <xdr:cNvSpPr>
          <a:spLocks/>
        </xdr:cNvSpPr>
      </xdr:nvSpPr>
      <xdr:spPr>
        <a:xfrm>
          <a:off x="1504950" y="57159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350</xdr:row>
      <xdr:rowOff>0</xdr:rowOff>
    </xdr:from>
    <xdr:to>
      <xdr:col>5</xdr:col>
      <xdr:colOff>9525</xdr:colOff>
      <xdr:row>350</xdr:row>
      <xdr:rowOff>0</xdr:rowOff>
    </xdr:to>
    <xdr:sp>
      <xdr:nvSpPr>
        <xdr:cNvPr id="153" name="Line 227"/>
        <xdr:cNvSpPr>
          <a:spLocks/>
        </xdr:cNvSpPr>
      </xdr:nvSpPr>
      <xdr:spPr>
        <a:xfrm>
          <a:off x="2638425" y="5715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350</xdr:row>
      <xdr:rowOff>0</xdr:rowOff>
    </xdr:from>
    <xdr:to>
      <xdr:col>2</xdr:col>
      <xdr:colOff>285750</xdr:colOff>
      <xdr:row>351</xdr:row>
      <xdr:rowOff>38100</xdr:rowOff>
    </xdr:to>
    <xdr:sp>
      <xdr:nvSpPr>
        <xdr:cNvPr id="154" name="Line 229"/>
        <xdr:cNvSpPr>
          <a:spLocks/>
        </xdr:cNvSpPr>
      </xdr:nvSpPr>
      <xdr:spPr>
        <a:xfrm>
          <a:off x="1504950" y="57150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350</xdr:row>
      <xdr:rowOff>9525</xdr:rowOff>
    </xdr:from>
    <xdr:to>
      <xdr:col>2</xdr:col>
      <xdr:colOff>581025</xdr:colOff>
      <xdr:row>351</xdr:row>
      <xdr:rowOff>47625</xdr:rowOff>
    </xdr:to>
    <xdr:sp>
      <xdr:nvSpPr>
        <xdr:cNvPr id="155" name="Line 230"/>
        <xdr:cNvSpPr>
          <a:spLocks/>
        </xdr:cNvSpPr>
      </xdr:nvSpPr>
      <xdr:spPr>
        <a:xfrm>
          <a:off x="1800225" y="57159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351</xdr:row>
      <xdr:rowOff>28575</xdr:rowOff>
    </xdr:from>
    <xdr:to>
      <xdr:col>2</xdr:col>
      <xdr:colOff>342900</xdr:colOff>
      <xdr:row>352</xdr:row>
      <xdr:rowOff>114300</xdr:rowOff>
    </xdr:to>
    <xdr:sp>
      <xdr:nvSpPr>
        <xdr:cNvPr id="156" name="Rectangle 234"/>
        <xdr:cNvSpPr>
          <a:spLocks/>
        </xdr:cNvSpPr>
      </xdr:nvSpPr>
      <xdr:spPr>
        <a:xfrm>
          <a:off x="1485900" y="57340500"/>
          <a:ext cx="76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352</xdr:row>
      <xdr:rowOff>85725</xdr:rowOff>
    </xdr:from>
    <xdr:to>
      <xdr:col>2</xdr:col>
      <xdr:colOff>590550</xdr:colOff>
      <xdr:row>353</xdr:row>
      <xdr:rowOff>0</xdr:rowOff>
    </xdr:to>
    <xdr:sp>
      <xdr:nvSpPr>
        <xdr:cNvPr id="157" name="Arc 236"/>
        <xdr:cNvSpPr>
          <a:spLocks/>
        </xdr:cNvSpPr>
      </xdr:nvSpPr>
      <xdr:spPr>
        <a:xfrm flipH="1" flipV="1">
          <a:off x="1724025" y="575595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351</xdr:row>
      <xdr:rowOff>104775</xdr:rowOff>
    </xdr:from>
    <xdr:to>
      <xdr:col>2</xdr:col>
      <xdr:colOff>571500</xdr:colOff>
      <xdr:row>352</xdr:row>
      <xdr:rowOff>19050</xdr:rowOff>
    </xdr:to>
    <xdr:sp>
      <xdr:nvSpPr>
        <xdr:cNvPr id="158" name="Arc 237"/>
        <xdr:cNvSpPr>
          <a:spLocks/>
        </xdr:cNvSpPr>
      </xdr:nvSpPr>
      <xdr:spPr>
        <a:xfrm flipH="1" flipV="1">
          <a:off x="1704975" y="574167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352</xdr:row>
      <xdr:rowOff>123825</xdr:rowOff>
    </xdr:from>
    <xdr:to>
      <xdr:col>2</xdr:col>
      <xdr:colOff>295275</xdr:colOff>
      <xdr:row>354</xdr:row>
      <xdr:rowOff>9525</xdr:rowOff>
    </xdr:to>
    <xdr:sp>
      <xdr:nvSpPr>
        <xdr:cNvPr id="159" name="Line 240"/>
        <xdr:cNvSpPr>
          <a:spLocks/>
        </xdr:cNvSpPr>
      </xdr:nvSpPr>
      <xdr:spPr>
        <a:xfrm>
          <a:off x="1514475" y="57597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352</xdr:row>
      <xdr:rowOff>19050</xdr:rowOff>
    </xdr:from>
    <xdr:to>
      <xdr:col>4</xdr:col>
      <xdr:colOff>590550</xdr:colOff>
      <xdr:row>352</xdr:row>
      <xdr:rowOff>95250</xdr:rowOff>
    </xdr:to>
    <xdr:sp>
      <xdr:nvSpPr>
        <xdr:cNvPr id="160" name="Arc 241"/>
        <xdr:cNvSpPr>
          <a:spLocks/>
        </xdr:cNvSpPr>
      </xdr:nvSpPr>
      <xdr:spPr>
        <a:xfrm flipH="1">
          <a:off x="2781300" y="574929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351</xdr:row>
      <xdr:rowOff>47625</xdr:rowOff>
    </xdr:from>
    <xdr:to>
      <xdr:col>4</xdr:col>
      <xdr:colOff>571500</xdr:colOff>
      <xdr:row>351</xdr:row>
      <xdr:rowOff>123825</xdr:rowOff>
    </xdr:to>
    <xdr:sp>
      <xdr:nvSpPr>
        <xdr:cNvPr id="161" name="Arc 242"/>
        <xdr:cNvSpPr>
          <a:spLocks/>
        </xdr:cNvSpPr>
      </xdr:nvSpPr>
      <xdr:spPr>
        <a:xfrm flipH="1">
          <a:off x="2762250" y="5735955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350</xdr:row>
      <xdr:rowOff>9525</xdr:rowOff>
    </xdr:from>
    <xdr:to>
      <xdr:col>4</xdr:col>
      <xdr:colOff>590550</xdr:colOff>
      <xdr:row>350</xdr:row>
      <xdr:rowOff>9525</xdr:rowOff>
    </xdr:to>
    <xdr:sp>
      <xdr:nvSpPr>
        <xdr:cNvPr id="162" name="Line 243"/>
        <xdr:cNvSpPr>
          <a:spLocks/>
        </xdr:cNvSpPr>
      </xdr:nvSpPr>
      <xdr:spPr>
        <a:xfrm>
          <a:off x="2562225" y="57159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350</xdr:row>
      <xdr:rowOff>0</xdr:rowOff>
    </xdr:from>
    <xdr:to>
      <xdr:col>4</xdr:col>
      <xdr:colOff>285750</xdr:colOff>
      <xdr:row>351</xdr:row>
      <xdr:rowOff>38100</xdr:rowOff>
    </xdr:to>
    <xdr:sp>
      <xdr:nvSpPr>
        <xdr:cNvPr id="163" name="Line 244"/>
        <xdr:cNvSpPr>
          <a:spLocks/>
        </xdr:cNvSpPr>
      </xdr:nvSpPr>
      <xdr:spPr>
        <a:xfrm>
          <a:off x="2562225" y="57150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350</xdr:row>
      <xdr:rowOff>9525</xdr:rowOff>
    </xdr:from>
    <xdr:to>
      <xdr:col>4</xdr:col>
      <xdr:colOff>581025</xdr:colOff>
      <xdr:row>351</xdr:row>
      <xdr:rowOff>47625</xdr:rowOff>
    </xdr:to>
    <xdr:sp>
      <xdr:nvSpPr>
        <xdr:cNvPr id="164" name="Line 245"/>
        <xdr:cNvSpPr>
          <a:spLocks/>
        </xdr:cNvSpPr>
      </xdr:nvSpPr>
      <xdr:spPr>
        <a:xfrm>
          <a:off x="2857500" y="57159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351</xdr:row>
      <xdr:rowOff>28575</xdr:rowOff>
    </xdr:from>
    <xdr:to>
      <xdr:col>4</xdr:col>
      <xdr:colOff>342900</xdr:colOff>
      <xdr:row>352</xdr:row>
      <xdr:rowOff>114300</xdr:rowOff>
    </xdr:to>
    <xdr:sp>
      <xdr:nvSpPr>
        <xdr:cNvPr id="165" name="Rectangle 246"/>
        <xdr:cNvSpPr>
          <a:spLocks/>
        </xdr:cNvSpPr>
      </xdr:nvSpPr>
      <xdr:spPr>
        <a:xfrm>
          <a:off x="2543175" y="57340500"/>
          <a:ext cx="76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352</xdr:row>
      <xdr:rowOff>85725</xdr:rowOff>
    </xdr:from>
    <xdr:to>
      <xdr:col>4</xdr:col>
      <xdr:colOff>590550</xdr:colOff>
      <xdr:row>353</xdr:row>
      <xdr:rowOff>0</xdr:rowOff>
    </xdr:to>
    <xdr:sp>
      <xdr:nvSpPr>
        <xdr:cNvPr id="166" name="Arc 247"/>
        <xdr:cNvSpPr>
          <a:spLocks/>
        </xdr:cNvSpPr>
      </xdr:nvSpPr>
      <xdr:spPr>
        <a:xfrm flipH="1" flipV="1">
          <a:off x="2781300" y="575595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351</xdr:row>
      <xdr:rowOff>104775</xdr:rowOff>
    </xdr:from>
    <xdr:to>
      <xdr:col>4</xdr:col>
      <xdr:colOff>571500</xdr:colOff>
      <xdr:row>352</xdr:row>
      <xdr:rowOff>19050</xdr:rowOff>
    </xdr:to>
    <xdr:sp>
      <xdr:nvSpPr>
        <xdr:cNvPr id="167" name="Arc 248"/>
        <xdr:cNvSpPr>
          <a:spLocks/>
        </xdr:cNvSpPr>
      </xdr:nvSpPr>
      <xdr:spPr>
        <a:xfrm flipH="1" flipV="1">
          <a:off x="2762250" y="574167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352</xdr:row>
      <xdr:rowOff>123825</xdr:rowOff>
    </xdr:from>
    <xdr:to>
      <xdr:col>4</xdr:col>
      <xdr:colOff>295275</xdr:colOff>
      <xdr:row>354</xdr:row>
      <xdr:rowOff>9525</xdr:rowOff>
    </xdr:to>
    <xdr:sp>
      <xdr:nvSpPr>
        <xdr:cNvPr id="168" name="Line 249"/>
        <xdr:cNvSpPr>
          <a:spLocks/>
        </xdr:cNvSpPr>
      </xdr:nvSpPr>
      <xdr:spPr>
        <a:xfrm>
          <a:off x="2571750" y="57597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353</xdr:row>
      <xdr:rowOff>0</xdr:rowOff>
    </xdr:from>
    <xdr:to>
      <xdr:col>3</xdr:col>
      <xdr:colOff>0</xdr:colOff>
      <xdr:row>354</xdr:row>
      <xdr:rowOff>19050</xdr:rowOff>
    </xdr:to>
    <xdr:sp>
      <xdr:nvSpPr>
        <xdr:cNvPr id="169" name="Line 250"/>
        <xdr:cNvSpPr>
          <a:spLocks/>
        </xdr:cNvSpPr>
      </xdr:nvSpPr>
      <xdr:spPr>
        <a:xfrm>
          <a:off x="1828800" y="57635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353</xdr:row>
      <xdr:rowOff>0</xdr:rowOff>
    </xdr:from>
    <xdr:to>
      <xdr:col>4</xdr:col>
      <xdr:colOff>600075</xdr:colOff>
      <xdr:row>354</xdr:row>
      <xdr:rowOff>9525</xdr:rowOff>
    </xdr:to>
    <xdr:sp>
      <xdr:nvSpPr>
        <xdr:cNvPr id="170" name="Line 251"/>
        <xdr:cNvSpPr>
          <a:spLocks/>
        </xdr:cNvSpPr>
      </xdr:nvSpPr>
      <xdr:spPr>
        <a:xfrm>
          <a:off x="2876550" y="57635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354</xdr:row>
      <xdr:rowOff>0</xdr:rowOff>
    </xdr:from>
    <xdr:to>
      <xdr:col>3</xdr:col>
      <xdr:colOff>0</xdr:colOff>
      <xdr:row>354</xdr:row>
      <xdr:rowOff>0</xdr:rowOff>
    </xdr:to>
    <xdr:sp>
      <xdr:nvSpPr>
        <xdr:cNvPr id="171" name="Line 252"/>
        <xdr:cNvSpPr>
          <a:spLocks/>
        </xdr:cNvSpPr>
      </xdr:nvSpPr>
      <xdr:spPr>
        <a:xfrm>
          <a:off x="1514475" y="57797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353</xdr:row>
      <xdr:rowOff>152400</xdr:rowOff>
    </xdr:from>
    <xdr:to>
      <xdr:col>5</xdr:col>
      <xdr:colOff>0</xdr:colOff>
      <xdr:row>353</xdr:row>
      <xdr:rowOff>152400</xdr:rowOff>
    </xdr:to>
    <xdr:sp>
      <xdr:nvSpPr>
        <xdr:cNvPr id="172" name="Line 254"/>
        <xdr:cNvSpPr>
          <a:spLocks/>
        </xdr:cNvSpPr>
      </xdr:nvSpPr>
      <xdr:spPr>
        <a:xfrm>
          <a:off x="2581275" y="57788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353</xdr:row>
      <xdr:rowOff>152400</xdr:rowOff>
    </xdr:from>
    <xdr:to>
      <xdr:col>2</xdr:col>
      <xdr:colOff>438150</xdr:colOff>
      <xdr:row>355</xdr:row>
      <xdr:rowOff>9525</xdr:rowOff>
    </xdr:to>
    <xdr:sp>
      <xdr:nvSpPr>
        <xdr:cNvPr id="173" name="Line 255"/>
        <xdr:cNvSpPr>
          <a:spLocks/>
        </xdr:cNvSpPr>
      </xdr:nvSpPr>
      <xdr:spPr>
        <a:xfrm>
          <a:off x="1657350" y="57788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354</xdr:row>
      <xdr:rowOff>0</xdr:rowOff>
    </xdr:from>
    <xdr:to>
      <xdr:col>4</xdr:col>
      <xdr:colOff>495300</xdr:colOff>
      <xdr:row>355</xdr:row>
      <xdr:rowOff>0</xdr:rowOff>
    </xdr:to>
    <xdr:sp>
      <xdr:nvSpPr>
        <xdr:cNvPr id="174" name="Line 256"/>
        <xdr:cNvSpPr>
          <a:spLocks/>
        </xdr:cNvSpPr>
      </xdr:nvSpPr>
      <xdr:spPr>
        <a:xfrm>
          <a:off x="2771775" y="57797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355</xdr:row>
      <xdr:rowOff>9525</xdr:rowOff>
    </xdr:from>
    <xdr:to>
      <xdr:col>7</xdr:col>
      <xdr:colOff>285750</xdr:colOff>
      <xdr:row>355</xdr:row>
      <xdr:rowOff>9525</xdr:rowOff>
    </xdr:to>
    <xdr:sp>
      <xdr:nvSpPr>
        <xdr:cNvPr id="175" name="Line 257"/>
        <xdr:cNvSpPr>
          <a:spLocks/>
        </xdr:cNvSpPr>
      </xdr:nvSpPr>
      <xdr:spPr>
        <a:xfrm flipV="1">
          <a:off x="1219200" y="579691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347</xdr:row>
      <xdr:rowOff>152400</xdr:rowOff>
    </xdr:from>
    <xdr:to>
      <xdr:col>1</xdr:col>
      <xdr:colOff>104775</xdr:colOff>
      <xdr:row>355</xdr:row>
      <xdr:rowOff>0</xdr:rowOff>
    </xdr:to>
    <xdr:sp>
      <xdr:nvSpPr>
        <xdr:cNvPr id="176" name="Line 258"/>
        <xdr:cNvSpPr>
          <a:spLocks/>
        </xdr:cNvSpPr>
      </xdr:nvSpPr>
      <xdr:spPr>
        <a:xfrm flipV="1">
          <a:off x="714375" y="568166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351</xdr:row>
      <xdr:rowOff>19050</xdr:rowOff>
    </xdr:from>
    <xdr:to>
      <xdr:col>6</xdr:col>
      <xdr:colOff>9525</xdr:colOff>
      <xdr:row>356</xdr:row>
      <xdr:rowOff>76200</xdr:rowOff>
    </xdr:to>
    <xdr:sp>
      <xdr:nvSpPr>
        <xdr:cNvPr id="177" name="Line 260"/>
        <xdr:cNvSpPr>
          <a:spLocks/>
        </xdr:cNvSpPr>
      </xdr:nvSpPr>
      <xdr:spPr>
        <a:xfrm flipH="1" flipV="1">
          <a:off x="2952750" y="57330975"/>
          <a:ext cx="55245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351</xdr:row>
      <xdr:rowOff>123825</xdr:rowOff>
    </xdr:from>
    <xdr:to>
      <xdr:col>2</xdr:col>
      <xdr:colOff>247650</xdr:colOff>
      <xdr:row>352</xdr:row>
      <xdr:rowOff>66675</xdr:rowOff>
    </xdr:to>
    <xdr:sp>
      <xdr:nvSpPr>
        <xdr:cNvPr id="178" name="Line 261"/>
        <xdr:cNvSpPr>
          <a:spLocks/>
        </xdr:cNvSpPr>
      </xdr:nvSpPr>
      <xdr:spPr>
        <a:xfrm flipV="1">
          <a:off x="1247775" y="57435750"/>
          <a:ext cx="2190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351</xdr:row>
      <xdr:rowOff>114300</xdr:rowOff>
    </xdr:from>
    <xdr:to>
      <xdr:col>3</xdr:col>
      <xdr:colOff>342900</xdr:colOff>
      <xdr:row>352</xdr:row>
      <xdr:rowOff>47625</xdr:rowOff>
    </xdr:to>
    <xdr:sp>
      <xdr:nvSpPr>
        <xdr:cNvPr id="179" name="Line 262"/>
        <xdr:cNvSpPr>
          <a:spLocks/>
        </xdr:cNvSpPr>
      </xdr:nvSpPr>
      <xdr:spPr>
        <a:xfrm flipH="1" flipV="1">
          <a:off x="1781175" y="57426225"/>
          <a:ext cx="390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348</xdr:row>
      <xdr:rowOff>19050</xdr:rowOff>
    </xdr:from>
    <xdr:to>
      <xdr:col>4</xdr:col>
      <xdr:colOff>447675</xdr:colOff>
      <xdr:row>350</xdr:row>
      <xdr:rowOff>142875</xdr:rowOff>
    </xdr:to>
    <xdr:sp>
      <xdr:nvSpPr>
        <xdr:cNvPr id="180" name="Arc 263"/>
        <xdr:cNvSpPr>
          <a:spLocks/>
        </xdr:cNvSpPr>
      </xdr:nvSpPr>
      <xdr:spPr>
        <a:xfrm flipH="1">
          <a:off x="2362200" y="56845200"/>
          <a:ext cx="361950" cy="447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352</xdr:row>
      <xdr:rowOff>95250</xdr:rowOff>
    </xdr:from>
    <xdr:to>
      <xdr:col>4</xdr:col>
      <xdr:colOff>514350</xdr:colOff>
      <xdr:row>355</xdr:row>
      <xdr:rowOff>0</xdr:rowOff>
    </xdr:to>
    <xdr:sp>
      <xdr:nvSpPr>
        <xdr:cNvPr id="181" name="Arc 264"/>
        <xdr:cNvSpPr>
          <a:spLocks/>
        </xdr:cNvSpPr>
      </xdr:nvSpPr>
      <xdr:spPr>
        <a:xfrm rot="15965628" flipH="1">
          <a:off x="2371725" y="57569100"/>
          <a:ext cx="419100" cy="3905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347</xdr:row>
      <xdr:rowOff>152400</xdr:rowOff>
    </xdr:from>
    <xdr:to>
      <xdr:col>5</xdr:col>
      <xdr:colOff>590550</xdr:colOff>
      <xdr:row>348</xdr:row>
      <xdr:rowOff>0</xdr:rowOff>
    </xdr:to>
    <xdr:sp>
      <xdr:nvSpPr>
        <xdr:cNvPr id="182" name="Line 265"/>
        <xdr:cNvSpPr>
          <a:spLocks/>
        </xdr:cNvSpPr>
      </xdr:nvSpPr>
      <xdr:spPr>
        <a:xfrm>
          <a:off x="3305175" y="5681662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350</xdr:row>
      <xdr:rowOff>38100</xdr:rowOff>
    </xdr:from>
    <xdr:to>
      <xdr:col>2</xdr:col>
      <xdr:colOff>285750</xdr:colOff>
      <xdr:row>350</xdr:row>
      <xdr:rowOff>133350</xdr:rowOff>
    </xdr:to>
    <xdr:sp>
      <xdr:nvSpPr>
        <xdr:cNvPr id="183" name="Line 267"/>
        <xdr:cNvSpPr>
          <a:spLocks/>
        </xdr:cNvSpPr>
      </xdr:nvSpPr>
      <xdr:spPr>
        <a:xfrm>
          <a:off x="1504950" y="57188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350</xdr:row>
      <xdr:rowOff>28575</xdr:rowOff>
    </xdr:from>
    <xdr:to>
      <xdr:col>2</xdr:col>
      <xdr:colOff>590550</xdr:colOff>
      <xdr:row>350</xdr:row>
      <xdr:rowOff>142875</xdr:rowOff>
    </xdr:to>
    <xdr:sp>
      <xdr:nvSpPr>
        <xdr:cNvPr id="184" name="Line 268"/>
        <xdr:cNvSpPr>
          <a:spLocks/>
        </xdr:cNvSpPr>
      </xdr:nvSpPr>
      <xdr:spPr>
        <a:xfrm>
          <a:off x="1809750" y="57178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348</xdr:row>
      <xdr:rowOff>19050</xdr:rowOff>
    </xdr:from>
    <xdr:to>
      <xdr:col>2</xdr:col>
      <xdr:colOff>342900</xdr:colOff>
      <xdr:row>348</xdr:row>
      <xdr:rowOff>19050</xdr:rowOff>
    </xdr:to>
    <xdr:sp>
      <xdr:nvSpPr>
        <xdr:cNvPr id="185" name="Line 269"/>
        <xdr:cNvSpPr>
          <a:spLocks/>
        </xdr:cNvSpPr>
      </xdr:nvSpPr>
      <xdr:spPr>
        <a:xfrm>
          <a:off x="1314450" y="568452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553</xdr:row>
      <xdr:rowOff>0</xdr:rowOff>
    </xdr:from>
    <xdr:to>
      <xdr:col>5</xdr:col>
      <xdr:colOff>133350</xdr:colOff>
      <xdr:row>553</xdr:row>
      <xdr:rowOff>0</xdr:rowOff>
    </xdr:to>
    <xdr:sp>
      <xdr:nvSpPr>
        <xdr:cNvPr id="186" name="Line 270"/>
        <xdr:cNvSpPr>
          <a:spLocks/>
        </xdr:cNvSpPr>
      </xdr:nvSpPr>
      <xdr:spPr>
        <a:xfrm>
          <a:off x="1838325" y="900779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553</xdr:row>
      <xdr:rowOff>9525</xdr:rowOff>
    </xdr:from>
    <xdr:to>
      <xdr:col>4</xdr:col>
      <xdr:colOff>0</xdr:colOff>
      <xdr:row>556</xdr:row>
      <xdr:rowOff>123825</xdr:rowOff>
    </xdr:to>
    <xdr:sp>
      <xdr:nvSpPr>
        <xdr:cNvPr id="187" name="Line 271"/>
        <xdr:cNvSpPr>
          <a:spLocks/>
        </xdr:cNvSpPr>
      </xdr:nvSpPr>
      <xdr:spPr>
        <a:xfrm>
          <a:off x="1828800" y="90087450"/>
          <a:ext cx="4476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547</xdr:row>
      <xdr:rowOff>114300</xdr:rowOff>
    </xdr:from>
    <xdr:to>
      <xdr:col>3</xdr:col>
      <xdr:colOff>447675</xdr:colOff>
      <xdr:row>552</xdr:row>
      <xdr:rowOff>152400</xdr:rowOff>
    </xdr:to>
    <xdr:sp>
      <xdr:nvSpPr>
        <xdr:cNvPr id="188" name="Line 272"/>
        <xdr:cNvSpPr>
          <a:spLocks/>
        </xdr:cNvSpPr>
      </xdr:nvSpPr>
      <xdr:spPr>
        <a:xfrm flipV="1">
          <a:off x="1847850" y="89220675"/>
          <a:ext cx="4286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551</xdr:row>
      <xdr:rowOff>85725</xdr:rowOff>
    </xdr:from>
    <xdr:to>
      <xdr:col>3</xdr:col>
      <xdr:colOff>247650</xdr:colOff>
      <xdr:row>553</xdr:row>
      <xdr:rowOff>9525</xdr:rowOff>
    </xdr:to>
    <xdr:sp>
      <xdr:nvSpPr>
        <xdr:cNvPr id="189" name="Arc 273"/>
        <xdr:cNvSpPr>
          <a:spLocks/>
        </xdr:cNvSpPr>
      </xdr:nvSpPr>
      <xdr:spPr>
        <a:xfrm>
          <a:off x="1981200" y="89839800"/>
          <a:ext cx="95250" cy="2476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552</xdr:row>
      <xdr:rowOff>142875</xdr:rowOff>
    </xdr:from>
    <xdr:to>
      <xdr:col>3</xdr:col>
      <xdr:colOff>323850</xdr:colOff>
      <xdr:row>554</xdr:row>
      <xdr:rowOff>95250</xdr:rowOff>
    </xdr:to>
    <xdr:sp>
      <xdr:nvSpPr>
        <xdr:cNvPr id="190" name="Arc 274"/>
        <xdr:cNvSpPr>
          <a:spLocks/>
        </xdr:cNvSpPr>
      </xdr:nvSpPr>
      <xdr:spPr>
        <a:xfrm flipV="1">
          <a:off x="2038350" y="90058875"/>
          <a:ext cx="114300" cy="2762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620</xdr:row>
      <xdr:rowOff>152400</xdr:rowOff>
    </xdr:from>
    <xdr:to>
      <xdr:col>2</xdr:col>
      <xdr:colOff>504825</xdr:colOff>
      <xdr:row>620</xdr:row>
      <xdr:rowOff>152400</xdr:rowOff>
    </xdr:to>
    <xdr:sp>
      <xdr:nvSpPr>
        <xdr:cNvPr id="191" name="Line 278"/>
        <xdr:cNvSpPr>
          <a:spLocks/>
        </xdr:cNvSpPr>
      </xdr:nvSpPr>
      <xdr:spPr>
        <a:xfrm>
          <a:off x="1047750" y="101117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620</xdr:row>
      <xdr:rowOff>114300</xdr:rowOff>
    </xdr:from>
    <xdr:to>
      <xdr:col>3</xdr:col>
      <xdr:colOff>400050</xdr:colOff>
      <xdr:row>621</xdr:row>
      <xdr:rowOff>28575</xdr:rowOff>
    </xdr:to>
    <xdr:sp>
      <xdr:nvSpPr>
        <xdr:cNvPr id="192" name="Rectangle 279"/>
        <xdr:cNvSpPr>
          <a:spLocks/>
        </xdr:cNvSpPr>
      </xdr:nvSpPr>
      <xdr:spPr>
        <a:xfrm>
          <a:off x="1733550" y="101079300"/>
          <a:ext cx="4953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620</xdr:row>
      <xdr:rowOff>152400</xdr:rowOff>
    </xdr:from>
    <xdr:to>
      <xdr:col>3</xdr:col>
      <xdr:colOff>447675</xdr:colOff>
      <xdr:row>620</xdr:row>
      <xdr:rowOff>152400</xdr:rowOff>
    </xdr:to>
    <xdr:sp>
      <xdr:nvSpPr>
        <xdr:cNvPr id="193" name="Line 280"/>
        <xdr:cNvSpPr>
          <a:spLocks/>
        </xdr:cNvSpPr>
      </xdr:nvSpPr>
      <xdr:spPr>
        <a:xfrm>
          <a:off x="2238375" y="1011174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353</xdr:row>
      <xdr:rowOff>47625</xdr:rowOff>
    </xdr:from>
    <xdr:to>
      <xdr:col>8</xdr:col>
      <xdr:colOff>257175</xdr:colOff>
      <xdr:row>354</xdr:row>
      <xdr:rowOff>38100</xdr:rowOff>
    </xdr:to>
    <xdr:sp>
      <xdr:nvSpPr>
        <xdr:cNvPr id="194" name="Arc 287"/>
        <xdr:cNvSpPr>
          <a:spLocks/>
        </xdr:cNvSpPr>
      </xdr:nvSpPr>
      <xdr:spPr>
        <a:xfrm>
          <a:off x="4800600" y="57683400"/>
          <a:ext cx="171450" cy="152400"/>
        </a:xfrm>
        <a:custGeom>
          <a:pathLst>
            <a:path fill="none" h="43200" w="43200">
              <a:moveTo>
                <a:pt x="21599" y="0"/>
              </a:moveTo>
            </a:path>
            <a:path stroke="0" h="43200" w="43200">
              <a:moveTo>
                <a:pt x="21599" y="0"/>
              </a:move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626</xdr:row>
      <xdr:rowOff>85725</xdr:rowOff>
    </xdr:from>
    <xdr:to>
      <xdr:col>5</xdr:col>
      <xdr:colOff>590550</xdr:colOff>
      <xdr:row>627</xdr:row>
      <xdr:rowOff>0</xdr:rowOff>
    </xdr:to>
    <xdr:sp>
      <xdr:nvSpPr>
        <xdr:cNvPr id="195" name="Arc 309"/>
        <xdr:cNvSpPr>
          <a:spLocks/>
        </xdr:cNvSpPr>
      </xdr:nvSpPr>
      <xdr:spPr>
        <a:xfrm flipH="1" flipV="1">
          <a:off x="3390900" y="1020222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620</xdr:row>
      <xdr:rowOff>95250</xdr:rowOff>
    </xdr:from>
    <xdr:to>
      <xdr:col>4</xdr:col>
      <xdr:colOff>381000</xdr:colOff>
      <xdr:row>621</xdr:row>
      <xdr:rowOff>9525</xdr:rowOff>
    </xdr:to>
    <xdr:sp>
      <xdr:nvSpPr>
        <xdr:cNvPr id="196" name="Arc 315"/>
        <xdr:cNvSpPr>
          <a:spLocks/>
        </xdr:cNvSpPr>
      </xdr:nvSpPr>
      <xdr:spPr>
        <a:xfrm>
          <a:off x="2571750" y="10106025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620</xdr:row>
      <xdr:rowOff>95250</xdr:rowOff>
    </xdr:from>
    <xdr:to>
      <xdr:col>4</xdr:col>
      <xdr:colOff>180975</xdr:colOff>
      <xdr:row>621</xdr:row>
      <xdr:rowOff>9525</xdr:rowOff>
    </xdr:to>
    <xdr:sp>
      <xdr:nvSpPr>
        <xdr:cNvPr id="197" name="Arc 316"/>
        <xdr:cNvSpPr>
          <a:spLocks/>
        </xdr:cNvSpPr>
      </xdr:nvSpPr>
      <xdr:spPr>
        <a:xfrm>
          <a:off x="2371725" y="10106025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620</xdr:row>
      <xdr:rowOff>95250</xdr:rowOff>
    </xdr:from>
    <xdr:to>
      <xdr:col>4</xdr:col>
      <xdr:colOff>276225</xdr:colOff>
      <xdr:row>621</xdr:row>
      <xdr:rowOff>9525</xdr:rowOff>
    </xdr:to>
    <xdr:sp>
      <xdr:nvSpPr>
        <xdr:cNvPr id="198" name="Arc 317"/>
        <xdr:cNvSpPr>
          <a:spLocks/>
        </xdr:cNvSpPr>
      </xdr:nvSpPr>
      <xdr:spPr>
        <a:xfrm flipH="1">
          <a:off x="2466975" y="10106025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620</xdr:row>
      <xdr:rowOff>85725</xdr:rowOff>
    </xdr:from>
    <xdr:to>
      <xdr:col>4</xdr:col>
      <xdr:colOff>95250</xdr:colOff>
      <xdr:row>621</xdr:row>
      <xdr:rowOff>0</xdr:rowOff>
    </xdr:to>
    <xdr:sp>
      <xdr:nvSpPr>
        <xdr:cNvPr id="199" name="Arc 319"/>
        <xdr:cNvSpPr>
          <a:spLocks/>
        </xdr:cNvSpPr>
      </xdr:nvSpPr>
      <xdr:spPr>
        <a:xfrm flipV="1">
          <a:off x="2276475" y="101050725"/>
          <a:ext cx="9525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620</xdr:row>
      <xdr:rowOff>152400</xdr:rowOff>
    </xdr:from>
    <xdr:to>
      <xdr:col>4</xdr:col>
      <xdr:colOff>28575</xdr:colOff>
      <xdr:row>620</xdr:row>
      <xdr:rowOff>152400</xdr:rowOff>
    </xdr:to>
    <xdr:sp>
      <xdr:nvSpPr>
        <xdr:cNvPr id="200" name="Line 320"/>
        <xdr:cNvSpPr>
          <a:spLocks/>
        </xdr:cNvSpPr>
      </xdr:nvSpPr>
      <xdr:spPr>
        <a:xfrm>
          <a:off x="2276475" y="101117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623</xdr:row>
      <xdr:rowOff>19050</xdr:rowOff>
    </xdr:from>
    <xdr:to>
      <xdr:col>5</xdr:col>
      <xdr:colOff>590550</xdr:colOff>
      <xdr:row>623</xdr:row>
      <xdr:rowOff>95250</xdr:rowOff>
    </xdr:to>
    <xdr:sp>
      <xdr:nvSpPr>
        <xdr:cNvPr id="201" name="Arc 329"/>
        <xdr:cNvSpPr>
          <a:spLocks/>
        </xdr:cNvSpPr>
      </xdr:nvSpPr>
      <xdr:spPr>
        <a:xfrm flipH="1">
          <a:off x="3390900" y="10146982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622</xdr:row>
      <xdr:rowOff>47625</xdr:rowOff>
    </xdr:from>
    <xdr:to>
      <xdr:col>5</xdr:col>
      <xdr:colOff>571500</xdr:colOff>
      <xdr:row>622</xdr:row>
      <xdr:rowOff>123825</xdr:rowOff>
    </xdr:to>
    <xdr:sp>
      <xdr:nvSpPr>
        <xdr:cNvPr id="202" name="Arc 330"/>
        <xdr:cNvSpPr>
          <a:spLocks/>
        </xdr:cNvSpPr>
      </xdr:nvSpPr>
      <xdr:spPr>
        <a:xfrm flipH="1">
          <a:off x="3371850" y="1013364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623</xdr:row>
      <xdr:rowOff>85725</xdr:rowOff>
    </xdr:from>
    <xdr:to>
      <xdr:col>5</xdr:col>
      <xdr:colOff>590550</xdr:colOff>
      <xdr:row>624</xdr:row>
      <xdr:rowOff>0</xdr:rowOff>
    </xdr:to>
    <xdr:sp>
      <xdr:nvSpPr>
        <xdr:cNvPr id="203" name="Arc 331"/>
        <xdr:cNvSpPr>
          <a:spLocks/>
        </xdr:cNvSpPr>
      </xdr:nvSpPr>
      <xdr:spPr>
        <a:xfrm flipH="1" flipV="1">
          <a:off x="3390900" y="1015365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622</xdr:row>
      <xdr:rowOff>104775</xdr:rowOff>
    </xdr:from>
    <xdr:to>
      <xdr:col>5</xdr:col>
      <xdr:colOff>571500</xdr:colOff>
      <xdr:row>623</xdr:row>
      <xdr:rowOff>19050</xdr:rowOff>
    </xdr:to>
    <xdr:sp>
      <xdr:nvSpPr>
        <xdr:cNvPr id="204" name="Arc 332"/>
        <xdr:cNvSpPr>
          <a:spLocks/>
        </xdr:cNvSpPr>
      </xdr:nvSpPr>
      <xdr:spPr>
        <a:xfrm flipH="1" flipV="1">
          <a:off x="3371850" y="10139362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623</xdr:row>
      <xdr:rowOff>19050</xdr:rowOff>
    </xdr:from>
    <xdr:to>
      <xdr:col>4</xdr:col>
      <xdr:colOff>590550</xdr:colOff>
      <xdr:row>623</xdr:row>
      <xdr:rowOff>95250</xdr:rowOff>
    </xdr:to>
    <xdr:sp>
      <xdr:nvSpPr>
        <xdr:cNvPr id="205" name="Arc 333"/>
        <xdr:cNvSpPr>
          <a:spLocks/>
        </xdr:cNvSpPr>
      </xdr:nvSpPr>
      <xdr:spPr>
        <a:xfrm flipH="1">
          <a:off x="2781300" y="10146982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622</xdr:row>
      <xdr:rowOff>47625</xdr:rowOff>
    </xdr:from>
    <xdr:to>
      <xdr:col>4</xdr:col>
      <xdr:colOff>571500</xdr:colOff>
      <xdr:row>622</xdr:row>
      <xdr:rowOff>123825</xdr:rowOff>
    </xdr:to>
    <xdr:sp>
      <xdr:nvSpPr>
        <xdr:cNvPr id="206" name="Arc 334"/>
        <xdr:cNvSpPr>
          <a:spLocks/>
        </xdr:cNvSpPr>
      </xdr:nvSpPr>
      <xdr:spPr>
        <a:xfrm flipH="1">
          <a:off x="2762250" y="1013364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623</xdr:row>
      <xdr:rowOff>85725</xdr:rowOff>
    </xdr:from>
    <xdr:to>
      <xdr:col>4</xdr:col>
      <xdr:colOff>590550</xdr:colOff>
      <xdr:row>624</xdr:row>
      <xdr:rowOff>0</xdr:rowOff>
    </xdr:to>
    <xdr:sp>
      <xdr:nvSpPr>
        <xdr:cNvPr id="207" name="Arc 335"/>
        <xdr:cNvSpPr>
          <a:spLocks/>
        </xdr:cNvSpPr>
      </xdr:nvSpPr>
      <xdr:spPr>
        <a:xfrm flipH="1" flipV="1">
          <a:off x="2781300" y="1015365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622</xdr:row>
      <xdr:rowOff>104775</xdr:rowOff>
    </xdr:from>
    <xdr:to>
      <xdr:col>4</xdr:col>
      <xdr:colOff>571500</xdr:colOff>
      <xdr:row>623</xdr:row>
      <xdr:rowOff>19050</xdr:rowOff>
    </xdr:to>
    <xdr:sp>
      <xdr:nvSpPr>
        <xdr:cNvPr id="208" name="Arc 336"/>
        <xdr:cNvSpPr>
          <a:spLocks/>
        </xdr:cNvSpPr>
      </xdr:nvSpPr>
      <xdr:spPr>
        <a:xfrm flipH="1" flipV="1">
          <a:off x="2762250" y="10139362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621</xdr:row>
      <xdr:rowOff>9525</xdr:rowOff>
    </xdr:from>
    <xdr:to>
      <xdr:col>5</xdr:col>
      <xdr:colOff>590550</xdr:colOff>
      <xdr:row>621</xdr:row>
      <xdr:rowOff>9525</xdr:rowOff>
    </xdr:to>
    <xdr:sp>
      <xdr:nvSpPr>
        <xdr:cNvPr id="209" name="Line 344"/>
        <xdr:cNvSpPr>
          <a:spLocks/>
        </xdr:cNvSpPr>
      </xdr:nvSpPr>
      <xdr:spPr>
        <a:xfrm>
          <a:off x="2667000" y="1011364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621</xdr:row>
      <xdr:rowOff>9525</xdr:rowOff>
    </xdr:from>
    <xdr:to>
      <xdr:col>4</xdr:col>
      <xdr:colOff>581025</xdr:colOff>
      <xdr:row>622</xdr:row>
      <xdr:rowOff>38100</xdr:rowOff>
    </xdr:to>
    <xdr:sp>
      <xdr:nvSpPr>
        <xdr:cNvPr id="210" name="Line 345"/>
        <xdr:cNvSpPr>
          <a:spLocks/>
        </xdr:cNvSpPr>
      </xdr:nvSpPr>
      <xdr:spPr>
        <a:xfrm flipV="1">
          <a:off x="2857500" y="101136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620</xdr:row>
      <xdr:rowOff>142875</xdr:rowOff>
    </xdr:from>
    <xdr:to>
      <xdr:col>5</xdr:col>
      <xdr:colOff>590550</xdr:colOff>
      <xdr:row>622</xdr:row>
      <xdr:rowOff>38100</xdr:rowOff>
    </xdr:to>
    <xdr:sp>
      <xdr:nvSpPr>
        <xdr:cNvPr id="211" name="Line 346"/>
        <xdr:cNvSpPr>
          <a:spLocks/>
        </xdr:cNvSpPr>
      </xdr:nvSpPr>
      <xdr:spPr>
        <a:xfrm flipV="1">
          <a:off x="3476625" y="101107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623</xdr:row>
      <xdr:rowOff>152400</xdr:rowOff>
    </xdr:from>
    <xdr:to>
      <xdr:col>4</xdr:col>
      <xdr:colOff>600075</xdr:colOff>
      <xdr:row>626</xdr:row>
      <xdr:rowOff>19050</xdr:rowOff>
    </xdr:to>
    <xdr:sp>
      <xdr:nvSpPr>
        <xdr:cNvPr id="212" name="Line 347"/>
        <xdr:cNvSpPr>
          <a:spLocks/>
        </xdr:cNvSpPr>
      </xdr:nvSpPr>
      <xdr:spPr>
        <a:xfrm flipH="1" flipV="1">
          <a:off x="2867025" y="1016031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627</xdr:row>
      <xdr:rowOff>19050</xdr:rowOff>
    </xdr:from>
    <xdr:to>
      <xdr:col>5</xdr:col>
      <xdr:colOff>590550</xdr:colOff>
      <xdr:row>627</xdr:row>
      <xdr:rowOff>95250</xdr:rowOff>
    </xdr:to>
    <xdr:sp>
      <xdr:nvSpPr>
        <xdr:cNvPr id="213" name="Arc 349"/>
        <xdr:cNvSpPr>
          <a:spLocks/>
        </xdr:cNvSpPr>
      </xdr:nvSpPr>
      <xdr:spPr>
        <a:xfrm flipH="1">
          <a:off x="3390900" y="10211752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626</xdr:row>
      <xdr:rowOff>47625</xdr:rowOff>
    </xdr:from>
    <xdr:to>
      <xdr:col>5</xdr:col>
      <xdr:colOff>600075</xdr:colOff>
      <xdr:row>626</xdr:row>
      <xdr:rowOff>123825</xdr:rowOff>
    </xdr:to>
    <xdr:sp>
      <xdr:nvSpPr>
        <xdr:cNvPr id="214" name="Arc 350"/>
        <xdr:cNvSpPr>
          <a:spLocks/>
        </xdr:cNvSpPr>
      </xdr:nvSpPr>
      <xdr:spPr>
        <a:xfrm flipH="1">
          <a:off x="3400425" y="1019841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627</xdr:row>
      <xdr:rowOff>85725</xdr:rowOff>
    </xdr:from>
    <xdr:to>
      <xdr:col>5</xdr:col>
      <xdr:colOff>590550</xdr:colOff>
      <xdr:row>628</xdr:row>
      <xdr:rowOff>0</xdr:rowOff>
    </xdr:to>
    <xdr:sp>
      <xdr:nvSpPr>
        <xdr:cNvPr id="215" name="Arc 351"/>
        <xdr:cNvSpPr>
          <a:spLocks/>
        </xdr:cNvSpPr>
      </xdr:nvSpPr>
      <xdr:spPr>
        <a:xfrm flipH="1" flipV="1">
          <a:off x="3390900" y="1021842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624</xdr:row>
      <xdr:rowOff>0</xdr:rowOff>
    </xdr:from>
    <xdr:to>
      <xdr:col>5</xdr:col>
      <xdr:colOff>600075</xdr:colOff>
      <xdr:row>624</xdr:row>
      <xdr:rowOff>104775</xdr:rowOff>
    </xdr:to>
    <xdr:sp>
      <xdr:nvSpPr>
        <xdr:cNvPr id="216" name="Line 353"/>
        <xdr:cNvSpPr>
          <a:spLocks/>
        </xdr:cNvSpPr>
      </xdr:nvSpPr>
      <xdr:spPr>
        <a:xfrm>
          <a:off x="3486150" y="1016127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624</xdr:row>
      <xdr:rowOff>95250</xdr:rowOff>
    </xdr:from>
    <xdr:to>
      <xdr:col>6</xdr:col>
      <xdr:colOff>38100</xdr:colOff>
      <xdr:row>625</xdr:row>
      <xdr:rowOff>133350</xdr:rowOff>
    </xdr:to>
    <xdr:sp>
      <xdr:nvSpPr>
        <xdr:cNvPr id="217" name="Rectangle 354"/>
        <xdr:cNvSpPr>
          <a:spLocks/>
        </xdr:cNvSpPr>
      </xdr:nvSpPr>
      <xdr:spPr>
        <a:xfrm>
          <a:off x="3448050" y="101707950"/>
          <a:ext cx="85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625</xdr:row>
      <xdr:rowOff>133350</xdr:rowOff>
    </xdr:from>
    <xdr:to>
      <xdr:col>6</xdr:col>
      <xdr:colOff>0</xdr:colOff>
      <xdr:row>626</xdr:row>
      <xdr:rowOff>57150</xdr:rowOff>
    </xdr:to>
    <xdr:sp>
      <xdr:nvSpPr>
        <xdr:cNvPr id="218" name="Line 355"/>
        <xdr:cNvSpPr>
          <a:spLocks/>
        </xdr:cNvSpPr>
      </xdr:nvSpPr>
      <xdr:spPr>
        <a:xfrm flipV="1">
          <a:off x="3495675" y="101907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628</xdr:row>
      <xdr:rowOff>19050</xdr:rowOff>
    </xdr:from>
    <xdr:to>
      <xdr:col>4</xdr:col>
      <xdr:colOff>590550</xdr:colOff>
      <xdr:row>628</xdr:row>
      <xdr:rowOff>95250</xdr:rowOff>
    </xdr:to>
    <xdr:sp>
      <xdr:nvSpPr>
        <xdr:cNvPr id="219" name="Arc 356"/>
        <xdr:cNvSpPr>
          <a:spLocks/>
        </xdr:cNvSpPr>
      </xdr:nvSpPr>
      <xdr:spPr>
        <a:xfrm flipH="1">
          <a:off x="2781300" y="10227945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627</xdr:row>
      <xdr:rowOff>47625</xdr:rowOff>
    </xdr:from>
    <xdr:to>
      <xdr:col>4</xdr:col>
      <xdr:colOff>571500</xdr:colOff>
      <xdr:row>627</xdr:row>
      <xdr:rowOff>123825</xdr:rowOff>
    </xdr:to>
    <xdr:sp>
      <xdr:nvSpPr>
        <xdr:cNvPr id="220" name="Arc 357"/>
        <xdr:cNvSpPr>
          <a:spLocks/>
        </xdr:cNvSpPr>
      </xdr:nvSpPr>
      <xdr:spPr>
        <a:xfrm flipH="1">
          <a:off x="2762250" y="1021461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628</xdr:row>
      <xdr:rowOff>85725</xdr:rowOff>
    </xdr:from>
    <xdr:to>
      <xdr:col>4</xdr:col>
      <xdr:colOff>590550</xdr:colOff>
      <xdr:row>629</xdr:row>
      <xdr:rowOff>0</xdr:rowOff>
    </xdr:to>
    <xdr:sp>
      <xdr:nvSpPr>
        <xdr:cNvPr id="221" name="Arc 358"/>
        <xdr:cNvSpPr>
          <a:spLocks/>
        </xdr:cNvSpPr>
      </xdr:nvSpPr>
      <xdr:spPr>
        <a:xfrm flipH="1" flipV="1">
          <a:off x="2781300" y="10234612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627</xdr:row>
      <xdr:rowOff>104775</xdr:rowOff>
    </xdr:from>
    <xdr:to>
      <xdr:col>4</xdr:col>
      <xdr:colOff>571500</xdr:colOff>
      <xdr:row>628</xdr:row>
      <xdr:rowOff>19050</xdr:rowOff>
    </xdr:to>
    <xdr:sp>
      <xdr:nvSpPr>
        <xdr:cNvPr id="222" name="Arc 359"/>
        <xdr:cNvSpPr>
          <a:spLocks/>
        </xdr:cNvSpPr>
      </xdr:nvSpPr>
      <xdr:spPr>
        <a:xfrm flipH="1" flipV="1">
          <a:off x="2762250" y="10220325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626</xdr:row>
      <xdr:rowOff>9525</xdr:rowOff>
    </xdr:from>
    <xdr:to>
      <xdr:col>6</xdr:col>
      <xdr:colOff>0</xdr:colOff>
      <xdr:row>626</xdr:row>
      <xdr:rowOff>9525</xdr:rowOff>
    </xdr:to>
    <xdr:sp>
      <xdr:nvSpPr>
        <xdr:cNvPr id="223" name="Line 360"/>
        <xdr:cNvSpPr>
          <a:spLocks/>
        </xdr:cNvSpPr>
      </xdr:nvSpPr>
      <xdr:spPr>
        <a:xfrm>
          <a:off x="2905125" y="101946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628</xdr:row>
      <xdr:rowOff>9525</xdr:rowOff>
    </xdr:from>
    <xdr:to>
      <xdr:col>5</xdr:col>
      <xdr:colOff>600075</xdr:colOff>
      <xdr:row>628</xdr:row>
      <xdr:rowOff>142875</xdr:rowOff>
    </xdr:to>
    <xdr:sp>
      <xdr:nvSpPr>
        <xdr:cNvPr id="224" name="Line 363"/>
        <xdr:cNvSpPr>
          <a:spLocks/>
        </xdr:cNvSpPr>
      </xdr:nvSpPr>
      <xdr:spPr>
        <a:xfrm>
          <a:off x="3486150" y="102269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628</xdr:row>
      <xdr:rowOff>142875</xdr:rowOff>
    </xdr:from>
    <xdr:to>
      <xdr:col>6</xdr:col>
      <xdr:colOff>38100</xdr:colOff>
      <xdr:row>630</xdr:row>
      <xdr:rowOff>47625</xdr:rowOff>
    </xdr:to>
    <xdr:sp>
      <xdr:nvSpPr>
        <xdr:cNvPr id="225" name="Rectangle 365"/>
        <xdr:cNvSpPr>
          <a:spLocks/>
        </xdr:cNvSpPr>
      </xdr:nvSpPr>
      <xdr:spPr>
        <a:xfrm>
          <a:off x="3457575" y="102403275"/>
          <a:ext cx="76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629</xdr:row>
      <xdr:rowOff>9525</xdr:rowOff>
    </xdr:from>
    <xdr:to>
      <xdr:col>4</xdr:col>
      <xdr:colOff>590550</xdr:colOff>
      <xdr:row>631</xdr:row>
      <xdr:rowOff>38100</xdr:rowOff>
    </xdr:to>
    <xdr:sp>
      <xdr:nvSpPr>
        <xdr:cNvPr id="226" name="Line 366"/>
        <xdr:cNvSpPr>
          <a:spLocks/>
        </xdr:cNvSpPr>
      </xdr:nvSpPr>
      <xdr:spPr>
        <a:xfrm>
          <a:off x="2867025" y="1024318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630</xdr:row>
      <xdr:rowOff>66675</xdr:rowOff>
    </xdr:from>
    <xdr:to>
      <xdr:col>6</xdr:col>
      <xdr:colOff>9525</xdr:colOff>
      <xdr:row>631</xdr:row>
      <xdr:rowOff>28575</xdr:rowOff>
    </xdr:to>
    <xdr:sp>
      <xdr:nvSpPr>
        <xdr:cNvPr id="227" name="Line 367"/>
        <xdr:cNvSpPr>
          <a:spLocks/>
        </xdr:cNvSpPr>
      </xdr:nvSpPr>
      <xdr:spPr>
        <a:xfrm>
          <a:off x="3505200" y="1026509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631</xdr:row>
      <xdr:rowOff>28575</xdr:rowOff>
    </xdr:from>
    <xdr:to>
      <xdr:col>6</xdr:col>
      <xdr:colOff>19050</xdr:colOff>
      <xdr:row>631</xdr:row>
      <xdr:rowOff>28575</xdr:rowOff>
    </xdr:to>
    <xdr:sp>
      <xdr:nvSpPr>
        <xdr:cNvPr id="228" name="Line 368"/>
        <xdr:cNvSpPr>
          <a:spLocks/>
        </xdr:cNvSpPr>
      </xdr:nvSpPr>
      <xdr:spPr>
        <a:xfrm>
          <a:off x="1057275" y="1027747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628</xdr:row>
      <xdr:rowOff>19050</xdr:rowOff>
    </xdr:from>
    <xdr:to>
      <xdr:col>4</xdr:col>
      <xdr:colOff>590550</xdr:colOff>
      <xdr:row>628</xdr:row>
      <xdr:rowOff>95250</xdr:rowOff>
    </xdr:to>
    <xdr:sp>
      <xdr:nvSpPr>
        <xdr:cNvPr id="229" name="Arc 369"/>
        <xdr:cNvSpPr>
          <a:spLocks/>
        </xdr:cNvSpPr>
      </xdr:nvSpPr>
      <xdr:spPr>
        <a:xfrm flipH="1">
          <a:off x="2781300" y="10227945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627</xdr:row>
      <xdr:rowOff>47625</xdr:rowOff>
    </xdr:from>
    <xdr:to>
      <xdr:col>4</xdr:col>
      <xdr:colOff>571500</xdr:colOff>
      <xdr:row>627</xdr:row>
      <xdr:rowOff>123825</xdr:rowOff>
    </xdr:to>
    <xdr:sp>
      <xdr:nvSpPr>
        <xdr:cNvPr id="230" name="Arc 370"/>
        <xdr:cNvSpPr>
          <a:spLocks/>
        </xdr:cNvSpPr>
      </xdr:nvSpPr>
      <xdr:spPr>
        <a:xfrm flipH="1">
          <a:off x="2762250" y="1021461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628</xdr:row>
      <xdr:rowOff>85725</xdr:rowOff>
    </xdr:from>
    <xdr:to>
      <xdr:col>4</xdr:col>
      <xdr:colOff>590550</xdr:colOff>
      <xdr:row>629</xdr:row>
      <xdr:rowOff>0</xdr:rowOff>
    </xdr:to>
    <xdr:sp>
      <xdr:nvSpPr>
        <xdr:cNvPr id="231" name="Arc 371"/>
        <xdr:cNvSpPr>
          <a:spLocks/>
        </xdr:cNvSpPr>
      </xdr:nvSpPr>
      <xdr:spPr>
        <a:xfrm flipH="1" flipV="1">
          <a:off x="2781300" y="10234612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627</xdr:row>
      <xdr:rowOff>104775</xdr:rowOff>
    </xdr:from>
    <xdr:to>
      <xdr:col>4</xdr:col>
      <xdr:colOff>571500</xdr:colOff>
      <xdr:row>628</xdr:row>
      <xdr:rowOff>19050</xdr:rowOff>
    </xdr:to>
    <xdr:sp>
      <xdr:nvSpPr>
        <xdr:cNvPr id="232" name="Arc 372"/>
        <xdr:cNvSpPr>
          <a:spLocks/>
        </xdr:cNvSpPr>
      </xdr:nvSpPr>
      <xdr:spPr>
        <a:xfrm flipH="1" flipV="1">
          <a:off x="2762250" y="10220325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626</xdr:row>
      <xdr:rowOff>0</xdr:rowOff>
    </xdr:from>
    <xdr:to>
      <xdr:col>4</xdr:col>
      <xdr:colOff>600075</xdr:colOff>
      <xdr:row>627</xdr:row>
      <xdr:rowOff>28575</xdr:rowOff>
    </xdr:to>
    <xdr:sp>
      <xdr:nvSpPr>
        <xdr:cNvPr id="233" name="Line 373"/>
        <xdr:cNvSpPr>
          <a:spLocks/>
        </xdr:cNvSpPr>
      </xdr:nvSpPr>
      <xdr:spPr>
        <a:xfrm flipV="1">
          <a:off x="2876550" y="101936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621</xdr:row>
      <xdr:rowOff>19050</xdr:rowOff>
    </xdr:from>
    <xdr:to>
      <xdr:col>5</xdr:col>
      <xdr:colOff>85725</xdr:colOff>
      <xdr:row>622</xdr:row>
      <xdr:rowOff>114300</xdr:rowOff>
    </xdr:to>
    <xdr:sp>
      <xdr:nvSpPr>
        <xdr:cNvPr id="234" name="Line 374"/>
        <xdr:cNvSpPr>
          <a:spLocks/>
        </xdr:cNvSpPr>
      </xdr:nvSpPr>
      <xdr:spPr>
        <a:xfrm flipV="1">
          <a:off x="2971800" y="101145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626</xdr:row>
      <xdr:rowOff>0</xdr:rowOff>
    </xdr:from>
    <xdr:to>
      <xdr:col>5</xdr:col>
      <xdr:colOff>66675</xdr:colOff>
      <xdr:row>627</xdr:row>
      <xdr:rowOff>95250</xdr:rowOff>
    </xdr:to>
    <xdr:sp>
      <xdr:nvSpPr>
        <xdr:cNvPr id="235" name="Line 375"/>
        <xdr:cNvSpPr>
          <a:spLocks/>
        </xdr:cNvSpPr>
      </xdr:nvSpPr>
      <xdr:spPr>
        <a:xfrm flipV="1">
          <a:off x="2952750" y="1019365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624</xdr:row>
      <xdr:rowOff>9525</xdr:rowOff>
    </xdr:from>
    <xdr:to>
      <xdr:col>5</xdr:col>
      <xdr:colOff>104775</xdr:colOff>
      <xdr:row>626</xdr:row>
      <xdr:rowOff>19050</xdr:rowOff>
    </xdr:to>
    <xdr:sp>
      <xdr:nvSpPr>
        <xdr:cNvPr id="236" name="Line 376"/>
        <xdr:cNvSpPr>
          <a:spLocks/>
        </xdr:cNvSpPr>
      </xdr:nvSpPr>
      <xdr:spPr>
        <a:xfrm flipV="1">
          <a:off x="2990850" y="101622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629</xdr:row>
      <xdr:rowOff>9525</xdr:rowOff>
    </xdr:from>
    <xdr:to>
      <xdr:col>5</xdr:col>
      <xdr:colOff>76200</xdr:colOff>
      <xdr:row>631</xdr:row>
      <xdr:rowOff>19050</xdr:rowOff>
    </xdr:to>
    <xdr:sp>
      <xdr:nvSpPr>
        <xdr:cNvPr id="237" name="Line 377"/>
        <xdr:cNvSpPr>
          <a:spLocks/>
        </xdr:cNvSpPr>
      </xdr:nvSpPr>
      <xdr:spPr>
        <a:xfrm flipV="1">
          <a:off x="2962275" y="1024318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620</xdr:row>
      <xdr:rowOff>152400</xdr:rowOff>
    </xdr:from>
    <xdr:to>
      <xdr:col>2</xdr:col>
      <xdr:colOff>352425</xdr:colOff>
      <xdr:row>621</xdr:row>
      <xdr:rowOff>0</xdr:rowOff>
    </xdr:to>
    <xdr:sp>
      <xdr:nvSpPr>
        <xdr:cNvPr id="238" name="Line 378"/>
        <xdr:cNvSpPr>
          <a:spLocks/>
        </xdr:cNvSpPr>
      </xdr:nvSpPr>
      <xdr:spPr>
        <a:xfrm>
          <a:off x="1314450" y="10111740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734</xdr:row>
      <xdr:rowOff>47625</xdr:rowOff>
    </xdr:from>
    <xdr:to>
      <xdr:col>2</xdr:col>
      <xdr:colOff>600075</xdr:colOff>
      <xdr:row>745</xdr:row>
      <xdr:rowOff>0</xdr:rowOff>
    </xdr:to>
    <xdr:sp>
      <xdr:nvSpPr>
        <xdr:cNvPr id="239" name="Line 379"/>
        <xdr:cNvSpPr>
          <a:spLocks/>
        </xdr:cNvSpPr>
      </xdr:nvSpPr>
      <xdr:spPr>
        <a:xfrm flipV="1">
          <a:off x="1819275" y="11951017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740</xdr:row>
      <xdr:rowOff>9525</xdr:rowOff>
    </xdr:from>
    <xdr:to>
      <xdr:col>3</xdr:col>
      <xdr:colOff>447675</xdr:colOff>
      <xdr:row>742</xdr:row>
      <xdr:rowOff>19050</xdr:rowOff>
    </xdr:to>
    <xdr:sp>
      <xdr:nvSpPr>
        <xdr:cNvPr id="240" name="Arc 381"/>
        <xdr:cNvSpPr>
          <a:spLocks/>
        </xdr:cNvSpPr>
      </xdr:nvSpPr>
      <xdr:spPr>
        <a:xfrm flipV="1">
          <a:off x="1800225" y="120443625"/>
          <a:ext cx="476250" cy="3333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735</xdr:row>
      <xdr:rowOff>123825</xdr:rowOff>
    </xdr:from>
    <xdr:to>
      <xdr:col>4</xdr:col>
      <xdr:colOff>542925</xdr:colOff>
      <xdr:row>740</xdr:row>
      <xdr:rowOff>76200</xdr:rowOff>
    </xdr:to>
    <xdr:sp>
      <xdr:nvSpPr>
        <xdr:cNvPr id="241" name="Arc 382"/>
        <xdr:cNvSpPr>
          <a:spLocks/>
        </xdr:cNvSpPr>
      </xdr:nvSpPr>
      <xdr:spPr>
        <a:xfrm flipH="1">
          <a:off x="2276475" y="119748300"/>
          <a:ext cx="542925" cy="7620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736</xdr:row>
      <xdr:rowOff>133350</xdr:rowOff>
    </xdr:from>
    <xdr:to>
      <xdr:col>6</xdr:col>
      <xdr:colOff>552450</xdr:colOff>
      <xdr:row>745</xdr:row>
      <xdr:rowOff>19050</xdr:rowOff>
    </xdr:to>
    <xdr:sp>
      <xdr:nvSpPr>
        <xdr:cNvPr id="242" name="Line 383"/>
        <xdr:cNvSpPr>
          <a:spLocks/>
        </xdr:cNvSpPr>
      </xdr:nvSpPr>
      <xdr:spPr>
        <a:xfrm>
          <a:off x="3028950" y="119919750"/>
          <a:ext cx="10191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735</xdr:row>
      <xdr:rowOff>123825</xdr:rowOff>
    </xdr:from>
    <xdr:to>
      <xdr:col>5</xdr:col>
      <xdr:colOff>133350</xdr:colOff>
      <xdr:row>736</xdr:row>
      <xdr:rowOff>114300</xdr:rowOff>
    </xdr:to>
    <xdr:sp>
      <xdr:nvSpPr>
        <xdr:cNvPr id="243" name="Arc 384"/>
        <xdr:cNvSpPr>
          <a:spLocks/>
        </xdr:cNvSpPr>
      </xdr:nvSpPr>
      <xdr:spPr>
        <a:xfrm rot="16200000" flipV="1">
          <a:off x="2819400" y="119748300"/>
          <a:ext cx="200025" cy="1524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736</xdr:row>
      <xdr:rowOff>0</xdr:rowOff>
    </xdr:from>
    <xdr:to>
      <xdr:col>3</xdr:col>
      <xdr:colOff>0</xdr:colOff>
      <xdr:row>736</xdr:row>
      <xdr:rowOff>0</xdr:rowOff>
    </xdr:to>
    <xdr:sp>
      <xdr:nvSpPr>
        <xdr:cNvPr id="244" name="Line 387"/>
        <xdr:cNvSpPr>
          <a:spLocks/>
        </xdr:cNvSpPr>
      </xdr:nvSpPr>
      <xdr:spPr>
        <a:xfrm>
          <a:off x="1819275" y="1197864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735</xdr:row>
      <xdr:rowOff>114300</xdr:rowOff>
    </xdr:from>
    <xdr:to>
      <xdr:col>3</xdr:col>
      <xdr:colOff>0</xdr:colOff>
      <xdr:row>736</xdr:row>
      <xdr:rowOff>0</xdr:rowOff>
    </xdr:to>
    <xdr:sp>
      <xdr:nvSpPr>
        <xdr:cNvPr id="245" name="Line 388"/>
        <xdr:cNvSpPr>
          <a:spLocks/>
        </xdr:cNvSpPr>
      </xdr:nvSpPr>
      <xdr:spPr>
        <a:xfrm flipV="1">
          <a:off x="1819275" y="119738775"/>
          <a:ext cx="9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735</xdr:row>
      <xdr:rowOff>123825</xdr:rowOff>
    </xdr:from>
    <xdr:to>
      <xdr:col>3</xdr:col>
      <xdr:colOff>0</xdr:colOff>
      <xdr:row>736</xdr:row>
      <xdr:rowOff>0</xdr:rowOff>
    </xdr:to>
    <xdr:sp>
      <xdr:nvSpPr>
        <xdr:cNvPr id="246" name="Line 389"/>
        <xdr:cNvSpPr>
          <a:spLocks/>
        </xdr:cNvSpPr>
      </xdr:nvSpPr>
      <xdr:spPr>
        <a:xfrm>
          <a:off x="1828800" y="1197483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736</xdr:row>
      <xdr:rowOff>133350</xdr:rowOff>
    </xdr:from>
    <xdr:to>
      <xdr:col>4</xdr:col>
      <xdr:colOff>542925</xdr:colOff>
      <xdr:row>739</xdr:row>
      <xdr:rowOff>0</xdr:rowOff>
    </xdr:to>
    <xdr:sp>
      <xdr:nvSpPr>
        <xdr:cNvPr id="247" name="Line 392"/>
        <xdr:cNvSpPr>
          <a:spLocks/>
        </xdr:cNvSpPr>
      </xdr:nvSpPr>
      <xdr:spPr>
        <a:xfrm>
          <a:off x="2276475" y="119919750"/>
          <a:ext cx="5429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739</xdr:row>
      <xdr:rowOff>19050</xdr:rowOff>
    </xdr:from>
    <xdr:to>
      <xdr:col>6</xdr:col>
      <xdr:colOff>552450</xdr:colOff>
      <xdr:row>745</xdr:row>
      <xdr:rowOff>19050</xdr:rowOff>
    </xdr:to>
    <xdr:sp>
      <xdr:nvSpPr>
        <xdr:cNvPr id="248" name="Line 393"/>
        <xdr:cNvSpPr>
          <a:spLocks/>
        </xdr:cNvSpPr>
      </xdr:nvSpPr>
      <xdr:spPr>
        <a:xfrm>
          <a:off x="2847975" y="120291225"/>
          <a:ext cx="120015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736</xdr:row>
      <xdr:rowOff>0</xdr:rowOff>
    </xdr:from>
    <xdr:to>
      <xdr:col>4</xdr:col>
      <xdr:colOff>0</xdr:colOff>
      <xdr:row>736</xdr:row>
      <xdr:rowOff>133350</xdr:rowOff>
    </xdr:to>
    <xdr:sp>
      <xdr:nvSpPr>
        <xdr:cNvPr id="249" name="Line 395"/>
        <xdr:cNvSpPr>
          <a:spLocks/>
        </xdr:cNvSpPr>
      </xdr:nvSpPr>
      <xdr:spPr>
        <a:xfrm>
          <a:off x="1828800" y="119786400"/>
          <a:ext cx="4476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735</xdr:row>
      <xdr:rowOff>123825</xdr:rowOff>
    </xdr:from>
    <xdr:to>
      <xdr:col>4</xdr:col>
      <xdr:colOff>542925</xdr:colOff>
      <xdr:row>735</xdr:row>
      <xdr:rowOff>123825</xdr:rowOff>
    </xdr:to>
    <xdr:sp>
      <xdr:nvSpPr>
        <xdr:cNvPr id="250" name="Line 397"/>
        <xdr:cNvSpPr>
          <a:spLocks/>
        </xdr:cNvSpPr>
      </xdr:nvSpPr>
      <xdr:spPr>
        <a:xfrm>
          <a:off x="1819275" y="119748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745</xdr:row>
      <xdr:rowOff>0</xdr:rowOff>
    </xdr:from>
    <xdr:to>
      <xdr:col>4</xdr:col>
      <xdr:colOff>542925</xdr:colOff>
      <xdr:row>745</xdr:row>
      <xdr:rowOff>0</xdr:rowOff>
    </xdr:to>
    <xdr:sp>
      <xdr:nvSpPr>
        <xdr:cNvPr id="251" name="Line 398"/>
        <xdr:cNvSpPr>
          <a:spLocks/>
        </xdr:cNvSpPr>
      </xdr:nvSpPr>
      <xdr:spPr>
        <a:xfrm>
          <a:off x="1828800" y="1212437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745</xdr:row>
      <xdr:rowOff>0</xdr:rowOff>
    </xdr:from>
    <xdr:to>
      <xdr:col>3</xdr:col>
      <xdr:colOff>447675</xdr:colOff>
      <xdr:row>745</xdr:row>
      <xdr:rowOff>0</xdr:rowOff>
    </xdr:to>
    <xdr:sp>
      <xdr:nvSpPr>
        <xdr:cNvPr id="252" name="Line 400"/>
        <xdr:cNvSpPr>
          <a:spLocks/>
        </xdr:cNvSpPr>
      </xdr:nvSpPr>
      <xdr:spPr>
        <a:xfrm>
          <a:off x="1828800" y="121243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744</xdr:row>
      <xdr:rowOff>0</xdr:rowOff>
    </xdr:from>
    <xdr:to>
      <xdr:col>4</xdr:col>
      <xdr:colOff>0</xdr:colOff>
      <xdr:row>744</xdr:row>
      <xdr:rowOff>0</xdr:rowOff>
    </xdr:to>
    <xdr:sp>
      <xdr:nvSpPr>
        <xdr:cNvPr id="253" name="Line 401"/>
        <xdr:cNvSpPr>
          <a:spLocks/>
        </xdr:cNvSpPr>
      </xdr:nvSpPr>
      <xdr:spPr>
        <a:xfrm>
          <a:off x="1828800" y="121081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743</xdr:row>
      <xdr:rowOff>0</xdr:rowOff>
    </xdr:from>
    <xdr:to>
      <xdr:col>5</xdr:col>
      <xdr:colOff>0</xdr:colOff>
      <xdr:row>744</xdr:row>
      <xdr:rowOff>0</xdr:rowOff>
    </xdr:to>
    <xdr:sp>
      <xdr:nvSpPr>
        <xdr:cNvPr id="254" name="Line 403"/>
        <xdr:cNvSpPr>
          <a:spLocks/>
        </xdr:cNvSpPr>
      </xdr:nvSpPr>
      <xdr:spPr>
        <a:xfrm flipV="1">
          <a:off x="2276475" y="1209198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743</xdr:row>
      <xdr:rowOff>0</xdr:rowOff>
    </xdr:from>
    <xdr:to>
      <xdr:col>6</xdr:col>
      <xdr:colOff>0</xdr:colOff>
      <xdr:row>744</xdr:row>
      <xdr:rowOff>0</xdr:rowOff>
    </xdr:to>
    <xdr:sp>
      <xdr:nvSpPr>
        <xdr:cNvPr id="255" name="Line 404"/>
        <xdr:cNvSpPr>
          <a:spLocks/>
        </xdr:cNvSpPr>
      </xdr:nvSpPr>
      <xdr:spPr>
        <a:xfrm>
          <a:off x="2886075" y="120919875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744</xdr:row>
      <xdr:rowOff>0</xdr:rowOff>
    </xdr:from>
    <xdr:to>
      <xdr:col>6</xdr:col>
      <xdr:colOff>552450</xdr:colOff>
      <xdr:row>745</xdr:row>
      <xdr:rowOff>28575</xdr:rowOff>
    </xdr:to>
    <xdr:sp>
      <xdr:nvSpPr>
        <xdr:cNvPr id="256" name="Line 405"/>
        <xdr:cNvSpPr>
          <a:spLocks/>
        </xdr:cNvSpPr>
      </xdr:nvSpPr>
      <xdr:spPr>
        <a:xfrm>
          <a:off x="3495675" y="121081800"/>
          <a:ext cx="5524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735</xdr:row>
      <xdr:rowOff>123825</xdr:rowOff>
    </xdr:from>
    <xdr:to>
      <xdr:col>4</xdr:col>
      <xdr:colOff>571500</xdr:colOff>
      <xdr:row>745</xdr:row>
      <xdr:rowOff>19050</xdr:rowOff>
    </xdr:to>
    <xdr:sp>
      <xdr:nvSpPr>
        <xdr:cNvPr id="257" name="Line 406"/>
        <xdr:cNvSpPr>
          <a:spLocks/>
        </xdr:cNvSpPr>
      </xdr:nvSpPr>
      <xdr:spPr>
        <a:xfrm>
          <a:off x="2847975" y="1197483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818</xdr:row>
      <xdr:rowOff>9525</xdr:rowOff>
    </xdr:from>
    <xdr:to>
      <xdr:col>6</xdr:col>
      <xdr:colOff>152400</xdr:colOff>
      <xdr:row>818</xdr:row>
      <xdr:rowOff>9525</xdr:rowOff>
    </xdr:to>
    <xdr:sp>
      <xdr:nvSpPr>
        <xdr:cNvPr id="258" name="Line 410"/>
        <xdr:cNvSpPr>
          <a:spLocks/>
        </xdr:cNvSpPr>
      </xdr:nvSpPr>
      <xdr:spPr>
        <a:xfrm>
          <a:off x="1828800" y="1330928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818</xdr:row>
      <xdr:rowOff>0</xdr:rowOff>
    </xdr:from>
    <xdr:to>
      <xdr:col>4</xdr:col>
      <xdr:colOff>333375</xdr:colOff>
      <xdr:row>818</xdr:row>
      <xdr:rowOff>0</xdr:rowOff>
    </xdr:to>
    <xdr:sp>
      <xdr:nvSpPr>
        <xdr:cNvPr id="259" name="Line 412"/>
        <xdr:cNvSpPr>
          <a:spLocks/>
        </xdr:cNvSpPr>
      </xdr:nvSpPr>
      <xdr:spPr>
        <a:xfrm flipH="1">
          <a:off x="2600325" y="133083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818</xdr:row>
      <xdr:rowOff>9525</xdr:rowOff>
    </xdr:from>
    <xdr:to>
      <xdr:col>4</xdr:col>
      <xdr:colOff>342900</xdr:colOff>
      <xdr:row>823</xdr:row>
      <xdr:rowOff>0</xdr:rowOff>
    </xdr:to>
    <xdr:sp>
      <xdr:nvSpPr>
        <xdr:cNvPr id="260" name="Line 413"/>
        <xdr:cNvSpPr>
          <a:spLocks/>
        </xdr:cNvSpPr>
      </xdr:nvSpPr>
      <xdr:spPr>
        <a:xfrm>
          <a:off x="2619375" y="1330928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813</xdr:row>
      <xdr:rowOff>9525</xdr:rowOff>
    </xdr:from>
    <xdr:to>
      <xdr:col>6</xdr:col>
      <xdr:colOff>152400</xdr:colOff>
      <xdr:row>818</xdr:row>
      <xdr:rowOff>0</xdr:rowOff>
    </xdr:to>
    <xdr:sp>
      <xdr:nvSpPr>
        <xdr:cNvPr id="261" name="Line 414"/>
        <xdr:cNvSpPr>
          <a:spLocks/>
        </xdr:cNvSpPr>
      </xdr:nvSpPr>
      <xdr:spPr>
        <a:xfrm>
          <a:off x="3648075" y="1322832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818</xdr:row>
      <xdr:rowOff>0</xdr:rowOff>
    </xdr:from>
    <xdr:to>
      <xdr:col>4</xdr:col>
      <xdr:colOff>352425</xdr:colOff>
      <xdr:row>822</xdr:row>
      <xdr:rowOff>152400</xdr:rowOff>
    </xdr:to>
    <xdr:sp>
      <xdr:nvSpPr>
        <xdr:cNvPr id="262" name="Line 415"/>
        <xdr:cNvSpPr>
          <a:spLocks/>
        </xdr:cNvSpPr>
      </xdr:nvSpPr>
      <xdr:spPr>
        <a:xfrm flipH="1" flipV="1">
          <a:off x="1819275" y="133083300"/>
          <a:ext cx="809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813</xdr:row>
      <xdr:rowOff>9525</xdr:rowOff>
    </xdr:from>
    <xdr:to>
      <xdr:col>6</xdr:col>
      <xdr:colOff>152400</xdr:colOff>
      <xdr:row>818</xdr:row>
      <xdr:rowOff>0</xdr:rowOff>
    </xdr:to>
    <xdr:sp>
      <xdr:nvSpPr>
        <xdr:cNvPr id="263" name="Line 416"/>
        <xdr:cNvSpPr>
          <a:spLocks/>
        </xdr:cNvSpPr>
      </xdr:nvSpPr>
      <xdr:spPr>
        <a:xfrm flipH="1">
          <a:off x="2619375" y="132283200"/>
          <a:ext cx="1028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818</xdr:row>
      <xdr:rowOff>9525</xdr:rowOff>
    </xdr:from>
    <xdr:to>
      <xdr:col>3</xdr:col>
      <xdr:colOff>247650</xdr:colOff>
      <xdr:row>819</xdr:row>
      <xdr:rowOff>76200</xdr:rowOff>
    </xdr:to>
    <xdr:sp>
      <xdr:nvSpPr>
        <xdr:cNvPr id="264" name="Arc 417"/>
        <xdr:cNvSpPr>
          <a:spLocks/>
        </xdr:cNvSpPr>
      </xdr:nvSpPr>
      <xdr:spPr>
        <a:xfrm>
          <a:off x="1943100" y="133092825"/>
          <a:ext cx="133350" cy="228600"/>
        </a:xfrm>
        <a:custGeom>
          <a:pathLst>
            <a:path fill="none" h="2843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3921"/>
                <a:pt x="21225" y="26228"/>
                <a:pt x="20491" y="28430"/>
              </a:cubicBezTo>
            </a:path>
            <a:path stroke="0" h="2843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3921"/>
                <a:pt x="21225" y="26228"/>
                <a:pt x="20491" y="2843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817</xdr:row>
      <xdr:rowOff>38100</xdr:rowOff>
    </xdr:from>
    <xdr:to>
      <xdr:col>4</xdr:col>
      <xdr:colOff>571500</xdr:colOff>
      <xdr:row>818</xdr:row>
      <xdr:rowOff>0</xdr:rowOff>
    </xdr:to>
    <xdr:sp>
      <xdr:nvSpPr>
        <xdr:cNvPr id="265" name="Arc 418"/>
        <xdr:cNvSpPr>
          <a:spLocks/>
        </xdr:cNvSpPr>
      </xdr:nvSpPr>
      <xdr:spPr>
        <a:xfrm>
          <a:off x="2781300" y="132959475"/>
          <a:ext cx="66675" cy="1238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179</xdr:row>
      <xdr:rowOff>123825</xdr:rowOff>
    </xdr:from>
    <xdr:to>
      <xdr:col>7</xdr:col>
      <xdr:colOff>276225</xdr:colOff>
      <xdr:row>181</xdr:row>
      <xdr:rowOff>114300</xdr:rowOff>
    </xdr:to>
    <xdr:sp>
      <xdr:nvSpPr>
        <xdr:cNvPr id="266" name="Line 419"/>
        <xdr:cNvSpPr>
          <a:spLocks/>
        </xdr:cNvSpPr>
      </xdr:nvSpPr>
      <xdr:spPr>
        <a:xfrm flipV="1">
          <a:off x="4381500" y="29527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180</xdr:row>
      <xdr:rowOff>0</xdr:rowOff>
    </xdr:from>
    <xdr:to>
      <xdr:col>5</xdr:col>
      <xdr:colOff>219075</xdr:colOff>
      <xdr:row>181</xdr:row>
      <xdr:rowOff>9525</xdr:rowOff>
    </xdr:to>
    <xdr:sp>
      <xdr:nvSpPr>
        <xdr:cNvPr id="267" name="Line 420"/>
        <xdr:cNvSpPr>
          <a:spLocks/>
        </xdr:cNvSpPr>
      </xdr:nvSpPr>
      <xdr:spPr>
        <a:xfrm>
          <a:off x="3105150" y="29565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180</xdr:row>
      <xdr:rowOff>9525</xdr:rowOff>
    </xdr:from>
    <xdr:to>
      <xdr:col>3</xdr:col>
      <xdr:colOff>133350</xdr:colOff>
      <xdr:row>181</xdr:row>
      <xdr:rowOff>19050</xdr:rowOff>
    </xdr:to>
    <xdr:sp>
      <xdr:nvSpPr>
        <xdr:cNvPr id="268" name="Line 421"/>
        <xdr:cNvSpPr>
          <a:spLocks/>
        </xdr:cNvSpPr>
      </xdr:nvSpPr>
      <xdr:spPr>
        <a:xfrm flipV="1">
          <a:off x="1962150" y="295751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175</xdr:row>
      <xdr:rowOff>0</xdr:rowOff>
    </xdr:from>
    <xdr:to>
      <xdr:col>4</xdr:col>
      <xdr:colOff>514350</xdr:colOff>
      <xdr:row>178</xdr:row>
      <xdr:rowOff>95250</xdr:rowOff>
    </xdr:to>
    <xdr:sp>
      <xdr:nvSpPr>
        <xdr:cNvPr id="269" name="Line 422"/>
        <xdr:cNvSpPr>
          <a:spLocks/>
        </xdr:cNvSpPr>
      </xdr:nvSpPr>
      <xdr:spPr>
        <a:xfrm>
          <a:off x="1866900" y="28755975"/>
          <a:ext cx="9239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737</xdr:row>
      <xdr:rowOff>9525</xdr:rowOff>
    </xdr:from>
    <xdr:to>
      <xdr:col>2</xdr:col>
      <xdr:colOff>571500</xdr:colOff>
      <xdr:row>743</xdr:row>
      <xdr:rowOff>9525</xdr:rowOff>
    </xdr:to>
    <xdr:sp>
      <xdr:nvSpPr>
        <xdr:cNvPr id="270" name="Line 426"/>
        <xdr:cNvSpPr>
          <a:spLocks/>
        </xdr:cNvSpPr>
      </xdr:nvSpPr>
      <xdr:spPr>
        <a:xfrm flipH="1" flipV="1">
          <a:off x="819150" y="119957850"/>
          <a:ext cx="9715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745</xdr:row>
      <xdr:rowOff>9525</xdr:rowOff>
    </xdr:from>
    <xdr:to>
      <xdr:col>6</xdr:col>
      <xdr:colOff>552450</xdr:colOff>
      <xdr:row>745</xdr:row>
      <xdr:rowOff>9525</xdr:rowOff>
    </xdr:to>
    <xdr:sp>
      <xdr:nvSpPr>
        <xdr:cNvPr id="271" name="Line 427"/>
        <xdr:cNvSpPr>
          <a:spLocks/>
        </xdr:cNvSpPr>
      </xdr:nvSpPr>
      <xdr:spPr>
        <a:xfrm>
          <a:off x="2857500" y="1212532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745</xdr:row>
      <xdr:rowOff>104775</xdr:rowOff>
    </xdr:from>
    <xdr:to>
      <xdr:col>5</xdr:col>
      <xdr:colOff>257175</xdr:colOff>
      <xdr:row>745</xdr:row>
      <xdr:rowOff>104775</xdr:rowOff>
    </xdr:to>
    <xdr:sp>
      <xdr:nvSpPr>
        <xdr:cNvPr id="272" name="Line 429"/>
        <xdr:cNvSpPr>
          <a:spLocks/>
        </xdr:cNvSpPr>
      </xdr:nvSpPr>
      <xdr:spPr>
        <a:xfrm>
          <a:off x="2886075" y="121348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737</xdr:row>
      <xdr:rowOff>133350</xdr:rowOff>
    </xdr:from>
    <xdr:to>
      <xdr:col>6</xdr:col>
      <xdr:colOff>9525</xdr:colOff>
      <xdr:row>740</xdr:row>
      <xdr:rowOff>152400</xdr:rowOff>
    </xdr:to>
    <xdr:sp>
      <xdr:nvSpPr>
        <xdr:cNvPr id="273" name="Line 431"/>
        <xdr:cNvSpPr>
          <a:spLocks/>
        </xdr:cNvSpPr>
      </xdr:nvSpPr>
      <xdr:spPr>
        <a:xfrm flipV="1">
          <a:off x="3228975" y="120081675"/>
          <a:ext cx="2762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45</xdr:row>
      <xdr:rowOff>85725</xdr:rowOff>
    </xdr:from>
    <xdr:to>
      <xdr:col>4</xdr:col>
      <xdr:colOff>76200</xdr:colOff>
      <xdr:row>46</xdr:row>
      <xdr:rowOff>0</xdr:rowOff>
    </xdr:to>
    <xdr:sp>
      <xdr:nvSpPr>
        <xdr:cNvPr id="274" name="Arc 433"/>
        <xdr:cNvSpPr>
          <a:spLocks/>
        </xdr:cNvSpPr>
      </xdr:nvSpPr>
      <xdr:spPr>
        <a:xfrm flipH="1" flipV="1">
          <a:off x="2266950" y="7734300"/>
          <a:ext cx="85725" cy="76200"/>
        </a:xfrm>
        <a:custGeom>
          <a:pathLst>
            <a:path fill="none" h="43200" w="43200">
              <a:moveTo>
                <a:pt x="29863" y="41556"/>
              </a:moveTo>
              <a:cubicBezTo>
                <a:pt x="27243" y="42641"/>
                <a:pt x="24435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9863" y="41556"/>
              </a:moveTo>
              <a:cubicBezTo>
                <a:pt x="27243" y="42641"/>
                <a:pt x="24435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179</xdr:row>
      <xdr:rowOff>104775</xdr:rowOff>
    </xdr:from>
    <xdr:to>
      <xdr:col>6</xdr:col>
      <xdr:colOff>76200</xdr:colOff>
      <xdr:row>180</xdr:row>
      <xdr:rowOff>28575</xdr:rowOff>
    </xdr:to>
    <xdr:sp>
      <xdr:nvSpPr>
        <xdr:cNvPr id="275" name="Arc 434"/>
        <xdr:cNvSpPr>
          <a:spLocks/>
        </xdr:cNvSpPr>
      </xdr:nvSpPr>
      <xdr:spPr>
        <a:xfrm flipH="1">
          <a:off x="3467100" y="2950845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179</xdr:row>
      <xdr:rowOff>104775</xdr:rowOff>
    </xdr:from>
    <xdr:to>
      <xdr:col>6</xdr:col>
      <xdr:colOff>190500</xdr:colOff>
      <xdr:row>180</xdr:row>
      <xdr:rowOff>28575</xdr:rowOff>
    </xdr:to>
    <xdr:sp>
      <xdr:nvSpPr>
        <xdr:cNvPr id="276" name="Arc 435"/>
        <xdr:cNvSpPr>
          <a:spLocks/>
        </xdr:cNvSpPr>
      </xdr:nvSpPr>
      <xdr:spPr>
        <a:xfrm>
          <a:off x="3590925" y="29508450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185</xdr:row>
      <xdr:rowOff>76200</xdr:rowOff>
    </xdr:from>
    <xdr:to>
      <xdr:col>3</xdr:col>
      <xdr:colOff>228600</xdr:colOff>
      <xdr:row>186</xdr:row>
      <xdr:rowOff>0</xdr:rowOff>
    </xdr:to>
    <xdr:sp>
      <xdr:nvSpPr>
        <xdr:cNvPr id="277" name="Arc 436"/>
        <xdr:cNvSpPr>
          <a:spLocks/>
        </xdr:cNvSpPr>
      </xdr:nvSpPr>
      <xdr:spPr>
        <a:xfrm>
          <a:off x="1962150" y="30451425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185</xdr:row>
      <xdr:rowOff>85725</xdr:rowOff>
    </xdr:from>
    <xdr:to>
      <xdr:col>3</xdr:col>
      <xdr:colOff>0</xdr:colOff>
      <xdr:row>186</xdr:row>
      <xdr:rowOff>9525</xdr:rowOff>
    </xdr:to>
    <xdr:sp>
      <xdr:nvSpPr>
        <xdr:cNvPr id="278" name="Arc 438"/>
        <xdr:cNvSpPr>
          <a:spLocks/>
        </xdr:cNvSpPr>
      </xdr:nvSpPr>
      <xdr:spPr>
        <a:xfrm>
          <a:off x="1733550" y="30460950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185</xdr:row>
      <xdr:rowOff>85725</xdr:rowOff>
    </xdr:from>
    <xdr:to>
      <xdr:col>3</xdr:col>
      <xdr:colOff>123825</xdr:colOff>
      <xdr:row>186</xdr:row>
      <xdr:rowOff>9525</xdr:rowOff>
    </xdr:to>
    <xdr:sp>
      <xdr:nvSpPr>
        <xdr:cNvPr id="279" name="Arc 441"/>
        <xdr:cNvSpPr>
          <a:spLocks/>
        </xdr:cNvSpPr>
      </xdr:nvSpPr>
      <xdr:spPr>
        <a:xfrm flipH="1">
          <a:off x="1847850" y="3046095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191</xdr:row>
      <xdr:rowOff>85725</xdr:rowOff>
    </xdr:from>
    <xdr:to>
      <xdr:col>5</xdr:col>
      <xdr:colOff>485775</xdr:colOff>
      <xdr:row>191</xdr:row>
      <xdr:rowOff>85725</xdr:rowOff>
    </xdr:to>
    <xdr:sp>
      <xdr:nvSpPr>
        <xdr:cNvPr id="280" name="Line 442"/>
        <xdr:cNvSpPr>
          <a:spLocks/>
        </xdr:cNvSpPr>
      </xdr:nvSpPr>
      <xdr:spPr>
        <a:xfrm flipH="1">
          <a:off x="2857500" y="31432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270</xdr:row>
      <xdr:rowOff>142875</xdr:rowOff>
    </xdr:from>
    <xdr:to>
      <xdr:col>4</xdr:col>
      <xdr:colOff>47625</xdr:colOff>
      <xdr:row>272</xdr:row>
      <xdr:rowOff>142875</xdr:rowOff>
    </xdr:to>
    <xdr:sp>
      <xdr:nvSpPr>
        <xdr:cNvPr id="281" name="Rectangle 443"/>
        <xdr:cNvSpPr>
          <a:spLocks/>
        </xdr:cNvSpPr>
      </xdr:nvSpPr>
      <xdr:spPr>
        <a:xfrm>
          <a:off x="2247900" y="44300775"/>
          <a:ext cx="76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267</xdr:row>
      <xdr:rowOff>76200</xdr:rowOff>
    </xdr:from>
    <xdr:to>
      <xdr:col>4</xdr:col>
      <xdr:colOff>28575</xdr:colOff>
      <xdr:row>268</xdr:row>
      <xdr:rowOff>0</xdr:rowOff>
    </xdr:to>
    <xdr:sp>
      <xdr:nvSpPr>
        <xdr:cNvPr id="282" name="Arc 444"/>
        <xdr:cNvSpPr>
          <a:spLocks/>
        </xdr:cNvSpPr>
      </xdr:nvSpPr>
      <xdr:spPr>
        <a:xfrm flipH="1">
          <a:off x="2200275" y="43748325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267</xdr:row>
      <xdr:rowOff>76200</xdr:rowOff>
    </xdr:from>
    <xdr:to>
      <xdr:col>4</xdr:col>
      <xdr:colOff>104775</xdr:colOff>
      <xdr:row>268</xdr:row>
      <xdr:rowOff>0</xdr:rowOff>
    </xdr:to>
    <xdr:sp>
      <xdr:nvSpPr>
        <xdr:cNvPr id="283" name="Arc 445"/>
        <xdr:cNvSpPr>
          <a:spLocks/>
        </xdr:cNvSpPr>
      </xdr:nvSpPr>
      <xdr:spPr>
        <a:xfrm>
          <a:off x="2286000" y="43748325"/>
          <a:ext cx="9525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268</xdr:row>
      <xdr:rowOff>0</xdr:rowOff>
    </xdr:from>
    <xdr:to>
      <xdr:col>4</xdr:col>
      <xdr:colOff>390525</xdr:colOff>
      <xdr:row>268</xdr:row>
      <xdr:rowOff>0</xdr:rowOff>
    </xdr:to>
    <xdr:sp>
      <xdr:nvSpPr>
        <xdr:cNvPr id="284" name="Line 446"/>
        <xdr:cNvSpPr>
          <a:spLocks/>
        </xdr:cNvSpPr>
      </xdr:nvSpPr>
      <xdr:spPr>
        <a:xfrm>
          <a:off x="2390775" y="43834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272</xdr:row>
      <xdr:rowOff>9525</xdr:rowOff>
    </xdr:from>
    <xdr:to>
      <xdr:col>4</xdr:col>
      <xdr:colOff>533400</xdr:colOff>
      <xdr:row>272</xdr:row>
      <xdr:rowOff>95250</xdr:rowOff>
    </xdr:to>
    <xdr:sp>
      <xdr:nvSpPr>
        <xdr:cNvPr id="285" name="Arc 447"/>
        <xdr:cNvSpPr>
          <a:spLocks/>
        </xdr:cNvSpPr>
      </xdr:nvSpPr>
      <xdr:spPr>
        <a:xfrm>
          <a:off x="2724150" y="44491275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272</xdr:row>
      <xdr:rowOff>57150</xdr:rowOff>
    </xdr:from>
    <xdr:to>
      <xdr:col>4</xdr:col>
      <xdr:colOff>514350</xdr:colOff>
      <xdr:row>273</xdr:row>
      <xdr:rowOff>0</xdr:rowOff>
    </xdr:to>
    <xdr:sp>
      <xdr:nvSpPr>
        <xdr:cNvPr id="286" name="Arc 448"/>
        <xdr:cNvSpPr>
          <a:spLocks/>
        </xdr:cNvSpPr>
      </xdr:nvSpPr>
      <xdr:spPr>
        <a:xfrm flipV="1">
          <a:off x="2724150" y="44538900"/>
          <a:ext cx="66675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743</xdr:row>
      <xdr:rowOff>0</xdr:rowOff>
    </xdr:from>
    <xdr:to>
      <xdr:col>4</xdr:col>
      <xdr:colOff>542925</xdr:colOff>
      <xdr:row>743</xdr:row>
      <xdr:rowOff>0</xdr:rowOff>
    </xdr:to>
    <xdr:sp>
      <xdr:nvSpPr>
        <xdr:cNvPr id="287" name="Line 449"/>
        <xdr:cNvSpPr>
          <a:spLocks/>
        </xdr:cNvSpPr>
      </xdr:nvSpPr>
      <xdr:spPr>
        <a:xfrm flipH="1">
          <a:off x="1809750" y="1209198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1228</xdr:row>
      <xdr:rowOff>152400</xdr:rowOff>
    </xdr:from>
    <xdr:to>
      <xdr:col>9</xdr:col>
      <xdr:colOff>266700</xdr:colOff>
      <xdr:row>1236</xdr:row>
      <xdr:rowOff>9525</xdr:rowOff>
    </xdr:to>
    <xdr:sp>
      <xdr:nvSpPr>
        <xdr:cNvPr id="288" name="Line 450"/>
        <xdr:cNvSpPr>
          <a:spLocks/>
        </xdr:cNvSpPr>
      </xdr:nvSpPr>
      <xdr:spPr>
        <a:xfrm>
          <a:off x="5591175" y="1996821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850</xdr:row>
      <xdr:rowOff>9525</xdr:rowOff>
    </xdr:from>
    <xdr:to>
      <xdr:col>3</xdr:col>
      <xdr:colOff>447675</xdr:colOff>
      <xdr:row>850</xdr:row>
      <xdr:rowOff>9525</xdr:rowOff>
    </xdr:to>
    <xdr:sp>
      <xdr:nvSpPr>
        <xdr:cNvPr id="289" name="Line 451"/>
        <xdr:cNvSpPr>
          <a:spLocks/>
        </xdr:cNvSpPr>
      </xdr:nvSpPr>
      <xdr:spPr>
        <a:xfrm>
          <a:off x="1828800" y="138293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849</xdr:row>
      <xdr:rowOff>123825</xdr:rowOff>
    </xdr:from>
    <xdr:to>
      <xdr:col>4</xdr:col>
      <xdr:colOff>304800</xdr:colOff>
      <xdr:row>850</xdr:row>
      <xdr:rowOff>38100</xdr:rowOff>
    </xdr:to>
    <xdr:sp>
      <xdr:nvSpPr>
        <xdr:cNvPr id="290" name="Rectangle 452"/>
        <xdr:cNvSpPr>
          <a:spLocks/>
        </xdr:cNvSpPr>
      </xdr:nvSpPr>
      <xdr:spPr>
        <a:xfrm>
          <a:off x="2276475" y="138245850"/>
          <a:ext cx="3048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849</xdr:row>
      <xdr:rowOff>104775</xdr:rowOff>
    </xdr:from>
    <xdr:to>
      <xdr:col>5</xdr:col>
      <xdr:colOff>133350</xdr:colOff>
      <xdr:row>850</xdr:row>
      <xdr:rowOff>19050</xdr:rowOff>
    </xdr:to>
    <xdr:sp>
      <xdr:nvSpPr>
        <xdr:cNvPr id="291" name="Arc 453"/>
        <xdr:cNvSpPr>
          <a:spLocks/>
        </xdr:cNvSpPr>
      </xdr:nvSpPr>
      <xdr:spPr>
        <a:xfrm>
          <a:off x="2933700" y="138226800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849</xdr:row>
      <xdr:rowOff>95250</xdr:rowOff>
    </xdr:from>
    <xdr:to>
      <xdr:col>5</xdr:col>
      <xdr:colOff>342900</xdr:colOff>
      <xdr:row>850</xdr:row>
      <xdr:rowOff>9525</xdr:rowOff>
    </xdr:to>
    <xdr:sp>
      <xdr:nvSpPr>
        <xdr:cNvPr id="292" name="Arc 454"/>
        <xdr:cNvSpPr>
          <a:spLocks/>
        </xdr:cNvSpPr>
      </xdr:nvSpPr>
      <xdr:spPr>
        <a:xfrm>
          <a:off x="3143250" y="1382172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849</xdr:row>
      <xdr:rowOff>95250</xdr:rowOff>
    </xdr:from>
    <xdr:to>
      <xdr:col>7</xdr:col>
      <xdr:colOff>381000</xdr:colOff>
      <xdr:row>850</xdr:row>
      <xdr:rowOff>9525</xdr:rowOff>
    </xdr:to>
    <xdr:sp>
      <xdr:nvSpPr>
        <xdr:cNvPr id="293" name="Arc 455"/>
        <xdr:cNvSpPr>
          <a:spLocks/>
        </xdr:cNvSpPr>
      </xdr:nvSpPr>
      <xdr:spPr>
        <a:xfrm>
          <a:off x="4400550" y="1382172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849</xdr:row>
      <xdr:rowOff>95250</xdr:rowOff>
    </xdr:from>
    <xdr:to>
      <xdr:col>7</xdr:col>
      <xdr:colOff>180975</xdr:colOff>
      <xdr:row>850</xdr:row>
      <xdr:rowOff>9525</xdr:rowOff>
    </xdr:to>
    <xdr:sp>
      <xdr:nvSpPr>
        <xdr:cNvPr id="294" name="Arc 456"/>
        <xdr:cNvSpPr>
          <a:spLocks/>
        </xdr:cNvSpPr>
      </xdr:nvSpPr>
      <xdr:spPr>
        <a:xfrm>
          <a:off x="4200525" y="1382172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849</xdr:row>
      <xdr:rowOff>95250</xdr:rowOff>
    </xdr:from>
    <xdr:to>
      <xdr:col>7</xdr:col>
      <xdr:colOff>276225</xdr:colOff>
      <xdr:row>850</xdr:row>
      <xdr:rowOff>9525</xdr:rowOff>
    </xdr:to>
    <xdr:sp>
      <xdr:nvSpPr>
        <xdr:cNvPr id="295" name="Arc 457"/>
        <xdr:cNvSpPr>
          <a:spLocks/>
        </xdr:cNvSpPr>
      </xdr:nvSpPr>
      <xdr:spPr>
        <a:xfrm flipH="1">
          <a:off x="4295775" y="1382172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849</xdr:row>
      <xdr:rowOff>95250</xdr:rowOff>
    </xdr:from>
    <xdr:to>
      <xdr:col>7</xdr:col>
      <xdr:colOff>95250</xdr:colOff>
      <xdr:row>850</xdr:row>
      <xdr:rowOff>9525</xdr:rowOff>
    </xdr:to>
    <xdr:sp>
      <xdr:nvSpPr>
        <xdr:cNvPr id="296" name="Arc 458"/>
        <xdr:cNvSpPr>
          <a:spLocks/>
        </xdr:cNvSpPr>
      </xdr:nvSpPr>
      <xdr:spPr>
        <a:xfrm flipH="1">
          <a:off x="4114800" y="1382172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849</xdr:row>
      <xdr:rowOff>95250</xdr:rowOff>
    </xdr:from>
    <xdr:to>
      <xdr:col>5</xdr:col>
      <xdr:colOff>28575</xdr:colOff>
      <xdr:row>850</xdr:row>
      <xdr:rowOff>9525</xdr:rowOff>
    </xdr:to>
    <xdr:sp>
      <xdr:nvSpPr>
        <xdr:cNvPr id="297" name="Arc 459"/>
        <xdr:cNvSpPr>
          <a:spLocks/>
        </xdr:cNvSpPr>
      </xdr:nvSpPr>
      <xdr:spPr>
        <a:xfrm flipH="1">
          <a:off x="2886075" y="138217275"/>
          <a:ext cx="285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849</xdr:row>
      <xdr:rowOff>95250</xdr:rowOff>
    </xdr:from>
    <xdr:to>
      <xdr:col>5</xdr:col>
      <xdr:colOff>228600</xdr:colOff>
      <xdr:row>850</xdr:row>
      <xdr:rowOff>9525</xdr:rowOff>
    </xdr:to>
    <xdr:sp>
      <xdr:nvSpPr>
        <xdr:cNvPr id="298" name="Arc 460"/>
        <xdr:cNvSpPr>
          <a:spLocks/>
        </xdr:cNvSpPr>
      </xdr:nvSpPr>
      <xdr:spPr>
        <a:xfrm flipH="1">
          <a:off x="3028950" y="138217275"/>
          <a:ext cx="857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854</xdr:row>
      <xdr:rowOff>19050</xdr:rowOff>
    </xdr:from>
    <xdr:to>
      <xdr:col>3</xdr:col>
      <xdr:colOff>447675</xdr:colOff>
      <xdr:row>854</xdr:row>
      <xdr:rowOff>95250</xdr:rowOff>
    </xdr:to>
    <xdr:sp>
      <xdr:nvSpPr>
        <xdr:cNvPr id="299" name="Arc 461"/>
        <xdr:cNvSpPr>
          <a:spLocks/>
        </xdr:cNvSpPr>
      </xdr:nvSpPr>
      <xdr:spPr>
        <a:xfrm flipH="1">
          <a:off x="2276475" y="138950700"/>
          <a:ext cx="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853</xdr:row>
      <xdr:rowOff>47625</xdr:rowOff>
    </xdr:from>
    <xdr:to>
      <xdr:col>3</xdr:col>
      <xdr:colOff>447675</xdr:colOff>
      <xdr:row>853</xdr:row>
      <xdr:rowOff>123825</xdr:rowOff>
    </xdr:to>
    <xdr:sp>
      <xdr:nvSpPr>
        <xdr:cNvPr id="300" name="Arc 462"/>
        <xdr:cNvSpPr>
          <a:spLocks/>
        </xdr:cNvSpPr>
      </xdr:nvSpPr>
      <xdr:spPr>
        <a:xfrm flipH="1">
          <a:off x="2276475" y="138817350"/>
          <a:ext cx="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850</xdr:row>
      <xdr:rowOff>9525</xdr:rowOff>
    </xdr:from>
    <xdr:to>
      <xdr:col>4</xdr:col>
      <xdr:colOff>600075</xdr:colOff>
      <xdr:row>850</xdr:row>
      <xdr:rowOff>9525</xdr:rowOff>
    </xdr:to>
    <xdr:sp>
      <xdr:nvSpPr>
        <xdr:cNvPr id="301" name="Line 463"/>
        <xdr:cNvSpPr>
          <a:spLocks/>
        </xdr:cNvSpPr>
      </xdr:nvSpPr>
      <xdr:spPr>
        <a:xfrm>
          <a:off x="2590800" y="138293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850</xdr:row>
      <xdr:rowOff>0</xdr:rowOff>
    </xdr:from>
    <xdr:to>
      <xdr:col>6</xdr:col>
      <xdr:colOff>419100</xdr:colOff>
      <xdr:row>850</xdr:row>
      <xdr:rowOff>9525</xdr:rowOff>
    </xdr:to>
    <xdr:sp>
      <xdr:nvSpPr>
        <xdr:cNvPr id="302" name="Line 464"/>
        <xdr:cNvSpPr>
          <a:spLocks/>
        </xdr:cNvSpPr>
      </xdr:nvSpPr>
      <xdr:spPr>
        <a:xfrm>
          <a:off x="3228975" y="13828395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850</xdr:row>
      <xdr:rowOff>0</xdr:rowOff>
    </xdr:from>
    <xdr:to>
      <xdr:col>7</xdr:col>
      <xdr:colOff>0</xdr:colOff>
      <xdr:row>850</xdr:row>
      <xdr:rowOff>0</xdr:rowOff>
    </xdr:to>
    <xdr:sp>
      <xdr:nvSpPr>
        <xdr:cNvPr id="303" name="Line 466"/>
        <xdr:cNvSpPr>
          <a:spLocks/>
        </xdr:cNvSpPr>
      </xdr:nvSpPr>
      <xdr:spPr>
        <a:xfrm>
          <a:off x="3867150" y="1382839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850</xdr:row>
      <xdr:rowOff>9525</xdr:rowOff>
    </xdr:from>
    <xdr:to>
      <xdr:col>8</xdr:col>
      <xdr:colOff>266700</xdr:colOff>
      <xdr:row>850</xdr:row>
      <xdr:rowOff>9525</xdr:rowOff>
    </xdr:to>
    <xdr:sp>
      <xdr:nvSpPr>
        <xdr:cNvPr id="304" name="Line 467"/>
        <xdr:cNvSpPr>
          <a:spLocks/>
        </xdr:cNvSpPr>
      </xdr:nvSpPr>
      <xdr:spPr>
        <a:xfrm>
          <a:off x="4467225" y="1382934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850</xdr:row>
      <xdr:rowOff>0</xdr:rowOff>
    </xdr:from>
    <xdr:to>
      <xdr:col>8</xdr:col>
      <xdr:colOff>266700</xdr:colOff>
      <xdr:row>852</xdr:row>
      <xdr:rowOff>19050</xdr:rowOff>
    </xdr:to>
    <xdr:sp>
      <xdr:nvSpPr>
        <xdr:cNvPr id="305" name="Line 468"/>
        <xdr:cNvSpPr>
          <a:spLocks/>
        </xdr:cNvSpPr>
      </xdr:nvSpPr>
      <xdr:spPr>
        <a:xfrm>
          <a:off x="4981575" y="138283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850</xdr:row>
      <xdr:rowOff>9525</xdr:rowOff>
    </xdr:from>
    <xdr:to>
      <xdr:col>3</xdr:col>
      <xdr:colOff>438150</xdr:colOff>
      <xdr:row>852</xdr:row>
      <xdr:rowOff>9525</xdr:rowOff>
    </xdr:to>
    <xdr:sp>
      <xdr:nvSpPr>
        <xdr:cNvPr id="306" name="Line 469"/>
        <xdr:cNvSpPr>
          <a:spLocks/>
        </xdr:cNvSpPr>
      </xdr:nvSpPr>
      <xdr:spPr>
        <a:xfrm>
          <a:off x="2266950" y="138293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852</xdr:row>
      <xdr:rowOff>9525</xdr:rowOff>
    </xdr:from>
    <xdr:to>
      <xdr:col>3</xdr:col>
      <xdr:colOff>447675</xdr:colOff>
      <xdr:row>852</xdr:row>
      <xdr:rowOff>9525</xdr:rowOff>
    </xdr:to>
    <xdr:sp>
      <xdr:nvSpPr>
        <xdr:cNvPr id="307" name="Line 471"/>
        <xdr:cNvSpPr>
          <a:spLocks/>
        </xdr:cNvSpPr>
      </xdr:nvSpPr>
      <xdr:spPr>
        <a:xfrm>
          <a:off x="2114550" y="138617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852</xdr:row>
      <xdr:rowOff>0</xdr:rowOff>
    </xdr:from>
    <xdr:to>
      <xdr:col>3</xdr:col>
      <xdr:colOff>285750</xdr:colOff>
      <xdr:row>853</xdr:row>
      <xdr:rowOff>38100</xdr:rowOff>
    </xdr:to>
    <xdr:sp>
      <xdr:nvSpPr>
        <xdr:cNvPr id="308" name="Line 473"/>
        <xdr:cNvSpPr>
          <a:spLocks/>
        </xdr:cNvSpPr>
      </xdr:nvSpPr>
      <xdr:spPr>
        <a:xfrm>
          <a:off x="2114550" y="138607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852</xdr:row>
      <xdr:rowOff>9525</xdr:rowOff>
    </xdr:from>
    <xdr:to>
      <xdr:col>3</xdr:col>
      <xdr:colOff>447675</xdr:colOff>
      <xdr:row>853</xdr:row>
      <xdr:rowOff>47625</xdr:rowOff>
    </xdr:to>
    <xdr:sp>
      <xdr:nvSpPr>
        <xdr:cNvPr id="309" name="Line 474"/>
        <xdr:cNvSpPr>
          <a:spLocks/>
        </xdr:cNvSpPr>
      </xdr:nvSpPr>
      <xdr:spPr>
        <a:xfrm>
          <a:off x="2276475" y="1386173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853</xdr:row>
      <xdr:rowOff>28575</xdr:rowOff>
    </xdr:from>
    <xdr:to>
      <xdr:col>3</xdr:col>
      <xdr:colOff>342900</xdr:colOff>
      <xdr:row>854</xdr:row>
      <xdr:rowOff>114300</xdr:rowOff>
    </xdr:to>
    <xdr:sp>
      <xdr:nvSpPr>
        <xdr:cNvPr id="310" name="Rectangle 475"/>
        <xdr:cNvSpPr>
          <a:spLocks/>
        </xdr:cNvSpPr>
      </xdr:nvSpPr>
      <xdr:spPr>
        <a:xfrm>
          <a:off x="2095500" y="138798300"/>
          <a:ext cx="76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854</xdr:row>
      <xdr:rowOff>85725</xdr:rowOff>
    </xdr:from>
    <xdr:to>
      <xdr:col>3</xdr:col>
      <xdr:colOff>447675</xdr:colOff>
      <xdr:row>855</xdr:row>
      <xdr:rowOff>0</xdr:rowOff>
    </xdr:to>
    <xdr:sp>
      <xdr:nvSpPr>
        <xdr:cNvPr id="311" name="Arc 476"/>
        <xdr:cNvSpPr>
          <a:spLocks/>
        </xdr:cNvSpPr>
      </xdr:nvSpPr>
      <xdr:spPr>
        <a:xfrm flipH="1" flipV="1">
          <a:off x="2276475" y="139017375"/>
          <a:ext cx="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853</xdr:row>
      <xdr:rowOff>104775</xdr:rowOff>
    </xdr:from>
    <xdr:to>
      <xdr:col>3</xdr:col>
      <xdr:colOff>447675</xdr:colOff>
      <xdr:row>854</xdr:row>
      <xdr:rowOff>19050</xdr:rowOff>
    </xdr:to>
    <xdr:sp>
      <xdr:nvSpPr>
        <xdr:cNvPr id="312" name="Arc 477"/>
        <xdr:cNvSpPr>
          <a:spLocks/>
        </xdr:cNvSpPr>
      </xdr:nvSpPr>
      <xdr:spPr>
        <a:xfrm flipH="1" flipV="1">
          <a:off x="2276475" y="138874500"/>
          <a:ext cx="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854</xdr:row>
      <xdr:rowOff>123825</xdr:rowOff>
    </xdr:from>
    <xdr:to>
      <xdr:col>3</xdr:col>
      <xdr:colOff>295275</xdr:colOff>
      <xdr:row>856</xdr:row>
      <xdr:rowOff>9525</xdr:rowOff>
    </xdr:to>
    <xdr:sp>
      <xdr:nvSpPr>
        <xdr:cNvPr id="313" name="Line 478"/>
        <xdr:cNvSpPr>
          <a:spLocks/>
        </xdr:cNvSpPr>
      </xdr:nvSpPr>
      <xdr:spPr>
        <a:xfrm>
          <a:off x="2124075" y="139055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855</xdr:row>
      <xdr:rowOff>0</xdr:rowOff>
    </xdr:from>
    <xdr:to>
      <xdr:col>4</xdr:col>
      <xdr:colOff>0</xdr:colOff>
      <xdr:row>856</xdr:row>
      <xdr:rowOff>19050</xdr:rowOff>
    </xdr:to>
    <xdr:sp>
      <xdr:nvSpPr>
        <xdr:cNvPr id="314" name="Line 488"/>
        <xdr:cNvSpPr>
          <a:spLocks/>
        </xdr:cNvSpPr>
      </xdr:nvSpPr>
      <xdr:spPr>
        <a:xfrm>
          <a:off x="2276475" y="139093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856</xdr:row>
      <xdr:rowOff>0</xdr:rowOff>
    </xdr:from>
    <xdr:to>
      <xdr:col>4</xdr:col>
      <xdr:colOff>0</xdr:colOff>
      <xdr:row>856</xdr:row>
      <xdr:rowOff>0</xdr:rowOff>
    </xdr:to>
    <xdr:sp>
      <xdr:nvSpPr>
        <xdr:cNvPr id="315" name="Line 490"/>
        <xdr:cNvSpPr>
          <a:spLocks/>
        </xdr:cNvSpPr>
      </xdr:nvSpPr>
      <xdr:spPr>
        <a:xfrm>
          <a:off x="2124075" y="139255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855</xdr:row>
      <xdr:rowOff>152400</xdr:rowOff>
    </xdr:from>
    <xdr:to>
      <xdr:col>3</xdr:col>
      <xdr:colOff>438150</xdr:colOff>
      <xdr:row>857</xdr:row>
      <xdr:rowOff>9525</xdr:rowOff>
    </xdr:to>
    <xdr:sp>
      <xdr:nvSpPr>
        <xdr:cNvPr id="316" name="Line 492"/>
        <xdr:cNvSpPr>
          <a:spLocks/>
        </xdr:cNvSpPr>
      </xdr:nvSpPr>
      <xdr:spPr>
        <a:xfrm>
          <a:off x="2266950" y="1392459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857</xdr:row>
      <xdr:rowOff>9525</xdr:rowOff>
    </xdr:from>
    <xdr:to>
      <xdr:col>8</xdr:col>
      <xdr:colOff>285750</xdr:colOff>
      <xdr:row>857</xdr:row>
      <xdr:rowOff>9525</xdr:rowOff>
    </xdr:to>
    <xdr:sp>
      <xdr:nvSpPr>
        <xdr:cNvPr id="317" name="Line 494"/>
        <xdr:cNvSpPr>
          <a:spLocks/>
        </xdr:cNvSpPr>
      </xdr:nvSpPr>
      <xdr:spPr>
        <a:xfrm flipV="1">
          <a:off x="1828800" y="1394269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849</xdr:row>
      <xdr:rowOff>152400</xdr:rowOff>
    </xdr:from>
    <xdr:to>
      <xdr:col>2</xdr:col>
      <xdr:colOff>104775</xdr:colOff>
      <xdr:row>857</xdr:row>
      <xdr:rowOff>0</xdr:rowOff>
    </xdr:to>
    <xdr:sp>
      <xdr:nvSpPr>
        <xdr:cNvPr id="318" name="Line 495"/>
        <xdr:cNvSpPr>
          <a:spLocks/>
        </xdr:cNvSpPr>
      </xdr:nvSpPr>
      <xdr:spPr>
        <a:xfrm flipV="1">
          <a:off x="1323975" y="1382744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850</xdr:row>
      <xdr:rowOff>9525</xdr:rowOff>
    </xdr:from>
    <xdr:to>
      <xdr:col>8</xdr:col>
      <xdr:colOff>142875</xdr:colOff>
      <xdr:row>850</xdr:row>
      <xdr:rowOff>19050</xdr:rowOff>
    </xdr:to>
    <xdr:sp>
      <xdr:nvSpPr>
        <xdr:cNvPr id="319" name="Line 501"/>
        <xdr:cNvSpPr>
          <a:spLocks/>
        </xdr:cNvSpPr>
      </xdr:nvSpPr>
      <xdr:spPr>
        <a:xfrm>
          <a:off x="4686300" y="13829347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852</xdr:row>
      <xdr:rowOff>38100</xdr:rowOff>
    </xdr:from>
    <xdr:to>
      <xdr:col>3</xdr:col>
      <xdr:colOff>285750</xdr:colOff>
      <xdr:row>852</xdr:row>
      <xdr:rowOff>133350</xdr:rowOff>
    </xdr:to>
    <xdr:sp>
      <xdr:nvSpPr>
        <xdr:cNvPr id="320" name="Line 502"/>
        <xdr:cNvSpPr>
          <a:spLocks/>
        </xdr:cNvSpPr>
      </xdr:nvSpPr>
      <xdr:spPr>
        <a:xfrm>
          <a:off x="2114550" y="138645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852</xdr:row>
      <xdr:rowOff>28575</xdr:rowOff>
    </xdr:from>
    <xdr:to>
      <xdr:col>3</xdr:col>
      <xdr:colOff>447675</xdr:colOff>
      <xdr:row>852</xdr:row>
      <xdr:rowOff>142875</xdr:rowOff>
    </xdr:to>
    <xdr:sp>
      <xdr:nvSpPr>
        <xdr:cNvPr id="321" name="Line 503"/>
        <xdr:cNvSpPr>
          <a:spLocks/>
        </xdr:cNvSpPr>
      </xdr:nvSpPr>
      <xdr:spPr>
        <a:xfrm>
          <a:off x="2276475" y="138636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850</xdr:row>
      <xdr:rowOff>19050</xdr:rowOff>
    </xdr:from>
    <xdr:to>
      <xdr:col>3</xdr:col>
      <xdr:colOff>342900</xdr:colOff>
      <xdr:row>850</xdr:row>
      <xdr:rowOff>19050</xdr:rowOff>
    </xdr:to>
    <xdr:sp>
      <xdr:nvSpPr>
        <xdr:cNvPr id="322" name="Line 504"/>
        <xdr:cNvSpPr>
          <a:spLocks/>
        </xdr:cNvSpPr>
      </xdr:nvSpPr>
      <xdr:spPr>
        <a:xfrm>
          <a:off x="1924050" y="138303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855</xdr:row>
      <xdr:rowOff>47625</xdr:rowOff>
    </xdr:from>
    <xdr:to>
      <xdr:col>9</xdr:col>
      <xdr:colOff>257175</xdr:colOff>
      <xdr:row>856</xdr:row>
      <xdr:rowOff>38100</xdr:rowOff>
    </xdr:to>
    <xdr:sp>
      <xdr:nvSpPr>
        <xdr:cNvPr id="323" name="Arc 505"/>
        <xdr:cNvSpPr>
          <a:spLocks/>
        </xdr:cNvSpPr>
      </xdr:nvSpPr>
      <xdr:spPr>
        <a:xfrm>
          <a:off x="5410200" y="139141200"/>
          <a:ext cx="171450" cy="152400"/>
        </a:xfrm>
        <a:custGeom>
          <a:pathLst>
            <a:path fill="none" h="43200" w="43200">
              <a:moveTo>
                <a:pt x="21599" y="0"/>
              </a:moveTo>
            </a:path>
            <a:path stroke="0" h="43200" w="43200">
              <a:moveTo>
                <a:pt x="21599" y="0"/>
              </a:move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852</xdr:row>
      <xdr:rowOff>28575</xdr:rowOff>
    </xdr:from>
    <xdr:to>
      <xdr:col>8</xdr:col>
      <xdr:colOff>314325</xdr:colOff>
      <xdr:row>853</xdr:row>
      <xdr:rowOff>114300</xdr:rowOff>
    </xdr:to>
    <xdr:sp>
      <xdr:nvSpPr>
        <xdr:cNvPr id="324" name="Rectangle 506"/>
        <xdr:cNvSpPr>
          <a:spLocks/>
        </xdr:cNvSpPr>
      </xdr:nvSpPr>
      <xdr:spPr>
        <a:xfrm>
          <a:off x="4953000" y="138636375"/>
          <a:ext cx="76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853</xdr:row>
      <xdr:rowOff>123825</xdr:rowOff>
    </xdr:from>
    <xdr:to>
      <xdr:col>8</xdr:col>
      <xdr:colOff>295275</xdr:colOff>
      <xdr:row>857</xdr:row>
      <xdr:rowOff>19050</xdr:rowOff>
    </xdr:to>
    <xdr:sp>
      <xdr:nvSpPr>
        <xdr:cNvPr id="325" name="Line 507"/>
        <xdr:cNvSpPr>
          <a:spLocks/>
        </xdr:cNvSpPr>
      </xdr:nvSpPr>
      <xdr:spPr>
        <a:xfrm flipV="1">
          <a:off x="5010150" y="1388935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850</xdr:row>
      <xdr:rowOff>85725</xdr:rowOff>
    </xdr:from>
    <xdr:to>
      <xdr:col>4</xdr:col>
      <xdr:colOff>0</xdr:colOff>
      <xdr:row>851</xdr:row>
      <xdr:rowOff>85725</xdr:rowOff>
    </xdr:to>
    <xdr:sp>
      <xdr:nvSpPr>
        <xdr:cNvPr id="326" name="Line 514"/>
        <xdr:cNvSpPr>
          <a:spLocks/>
        </xdr:cNvSpPr>
      </xdr:nvSpPr>
      <xdr:spPr>
        <a:xfrm>
          <a:off x="2276475" y="138369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853</xdr:row>
      <xdr:rowOff>28575</xdr:rowOff>
    </xdr:from>
    <xdr:to>
      <xdr:col>4</xdr:col>
      <xdr:colOff>47625</xdr:colOff>
      <xdr:row>854</xdr:row>
      <xdr:rowOff>114300</xdr:rowOff>
    </xdr:to>
    <xdr:sp>
      <xdr:nvSpPr>
        <xdr:cNvPr id="327" name="Rectangle 515"/>
        <xdr:cNvSpPr>
          <a:spLocks/>
        </xdr:cNvSpPr>
      </xdr:nvSpPr>
      <xdr:spPr>
        <a:xfrm>
          <a:off x="2247900" y="138798300"/>
          <a:ext cx="762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933</xdr:row>
      <xdr:rowOff>76200</xdr:rowOff>
    </xdr:from>
    <xdr:to>
      <xdr:col>3</xdr:col>
      <xdr:colOff>0</xdr:colOff>
      <xdr:row>942</xdr:row>
      <xdr:rowOff>142875</xdr:rowOff>
    </xdr:to>
    <xdr:sp>
      <xdr:nvSpPr>
        <xdr:cNvPr id="328" name="Line 516"/>
        <xdr:cNvSpPr>
          <a:spLocks/>
        </xdr:cNvSpPr>
      </xdr:nvSpPr>
      <xdr:spPr>
        <a:xfrm flipV="1">
          <a:off x="1828800" y="15181897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942</xdr:row>
      <xdr:rowOff>142875</xdr:rowOff>
    </xdr:from>
    <xdr:to>
      <xdr:col>7</xdr:col>
      <xdr:colOff>571500</xdr:colOff>
      <xdr:row>942</xdr:row>
      <xdr:rowOff>142875</xdr:rowOff>
    </xdr:to>
    <xdr:sp>
      <xdr:nvSpPr>
        <xdr:cNvPr id="329" name="Line 517"/>
        <xdr:cNvSpPr>
          <a:spLocks/>
        </xdr:cNvSpPr>
      </xdr:nvSpPr>
      <xdr:spPr>
        <a:xfrm>
          <a:off x="1847850" y="15334297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933</xdr:row>
      <xdr:rowOff>38100</xdr:rowOff>
    </xdr:from>
    <xdr:to>
      <xdr:col>5</xdr:col>
      <xdr:colOff>66675</xdr:colOff>
      <xdr:row>940</xdr:row>
      <xdr:rowOff>0</xdr:rowOff>
    </xdr:to>
    <xdr:sp>
      <xdr:nvSpPr>
        <xdr:cNvPr id="330" name="Arc 518"/>
        <xdr:cNvSpPr>
          <a:spLocks/>
        </xdr:cNvSpPr>
      </xdr:nvSpPr>
      <xdr:spPr>
        <a:xfrm rot="17800164">
          <a:off x="2028825" y="151780875"/>
          <a:ext cx="923925" cy="1095375"/>
        </a:xfrm>
        <a:custGeom>
          <a:pathLst>
            <a:path fill="none" h="21600" w="20517">
              <a:moveTo>
                <a:pt x="-1" y="0"/>
              </a:moveTo>
              <a:cubicBezTo>
                <a:pt x="9326" y="0"/>
                <a:pt x="17600" y="5986"/>
                <a:pt x="20516" y="14846"/>
              </a:cubicBezTo>
            </a:path>
            <a:path stroke="0" h="21600" w="20517">
              <a:moveTo>
                <a:pt x="-1" y="0"/>
              </a:moveTo>
              <a:cubicBezTo>
                <a:pt x="9326" y="0"/>
                <a:pt x="17600" y="5986"/>
                <a:pt x="20516" y="14846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934</xdr:row>
      <xdr:rowOff>0</xdr:rowOff>
    </xdr:from>
    <xdr:to>
      <xdr:col>6</xdr:col>
      <xdr:colOff>304800</xdr:colOff>
      <xdr:row>942</xdr:row>
      <xdr:rowOff>123825</xdr:rowOff>
    </xdr:to>
    <xdr:sp>
      <xdr:nvSpPr>
        <xdr:cNvPr id="331" name="Arc 519"/>
        <xdr:cNvSpPr>
          <a:spLocks/>
        </xdr:cNvSpPr>
      </xdr:nvSpPr>
      <xdr:spPr>
        <a:xfrm>
          <a:off x="2886075" y="151904700"/>
          <a:ext cx="914400" cy="14192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938</xdr:row>
      <xdr:rowOff>66675</xdr:rowOff>
    </xdr:from>
    <xdr:to>
      <xdr:col>6</xdr:col>
      <xdr:colOff>304800</xdr:colOff>
      <xdr:row>942</xdr:row>
      <xdr:rowOff>152400</xdr:rowOff>
    </xdr:to>
    <xdr:sp>
      <xdr:nvSpPr>
        <xdr:cNvPr id="332" name="Line 520"/>
        <xdr:cNvSpPr>
          <a:spLocks/>
        </xdr:cNvSpPr>
      </xdr:nvSpPr>
      <xdr:spPr>
        <a:xfrm>
          <a:off x="1847850" y="152619075"/>
          <a:ext cx="19526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946</xdr:row>
      <xdr:rowOff>38100</xdr:rowOff>
    </xdr:from>
    <xdr:to>
      <xdr:col>3</xdr:col>
      <xdr:colOff>0</xdr:colOff>
      <xdr:row>956</xdr:row>
      <xdr:rowOff>38100</xdr:rowOff>
    </xdr:to>
    <xdr:sp>
      <xdr:nvSpPr>
        <xdr:cNvPr id="333" name="Line 523"/>
        <xdr:cNvSpPr>
          <a:spLocks/>
        </xdr:cNvSpPr>
      </xdr:nvSpPr>
      <xdr:spPr>
        <a:xfrm flipV="1">
          <a:off x="1828800" y="1538859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956</xdr:row>
      <xdr:rowOff>0</xdr:rowOff>
    </xdr:from>
    <xdr:to>
      <xdr:col>8</xdr:col>
      <xdr:colOff>0</xdr:colOff>
      <xdr:row>956</xdr:row>
      <xdr:rowOff>9525</xdr:rowOff>
    </xdr:to>
    <xdr:sp>
      <xdr:nvSpPr>
        <xdr:cNvPr id="334" name="Line 525"/>
        <xdr:cNvSpPr>
          <a:spLocks/>
        </xdr:cNvSpPr>
      </xdr:nvSpPr>
      <xdr:spPr>
        <a:xfrm flipV="1">
          <a:off x="1828800" y="155467050"/>
          <a:ext cx="2886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947</xdr:row>
      <xdr:rowOff>28575</xdr:rowOff>
    </xdr:from>
    <xdr:to>
      <xdr:col>7</xdr:col>
      <xdr:colOff>381000</xdr:colOff>
      <xdr:row>955</xdr:row>
      <xdr:rowOff>152400</xdr:rowOff>
    </xdr:to>
    <xdr:sp>
      <xdr:nvSpPr>
        <xdr:cNvPr id="335" name="Line 527"/>
        <xdr:cNvSpPr>
          <a:spLocks/>
        </xdr:cNvSpPr>
      </xdr:nvSpPr>
      <xdr:spPr>
        <a:xfrm>
          <a:off x="1838325" y="154038300"/>
          <a:ext cx="26479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948</xdr:row>
      <xdr:rowOff>114300</xdr:rowOff>
    </xdr:from>
    <xdr:to>
      <xdr:col>7</xdr:col>
      <xdr:colOff>9525</xdr:colOff>
      <xdr:row>956</xdr:row>
      <xdr:rowOff>0</xdr:rowOff>
    </xdr:to>
    <xdr:sp>
      <xdr:nvSpPr>
        <xdr:cNvPr id="336" name="Line 530"/>
        <xdr:cNvSpPr>
          <a:spLocks/>
        </xdr:cNvSpPr>
      </xdr:nvSpPr>
      <xdr:spPr>
        <a:xfrm>
          <a:off x="1819275" y="154285950"/>
          <a:ext cx="2295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950</xdr:row>
      <xdr:rowOff>66675</xdr:rowOff>
    </xdr:from>
    <xdr:to>
      <xdr:col>6</xdr:col>
      <xdr:colOff>171450</xdr:colOff>
      <xdr:row>956</xdr:row>
      <xdr:rowOff>0</xdr:rowOff>
    </xdr:to>
    <xdr:sp>
      <xdr:nvSpPr>
        <xdr:cNvPr id="337" name="Line 532"/>
        <xdr:cNvSpPr>
          <a:spLocks/>
        </xdr:cNvSpPr>
      </xdr:nvSpPr>
      <xdr:spPr>
        <a:xfrm>
          <a:off x="1838325" y="154562175"/>
          <a:ext cx="1828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ELECTRICAL-GATE\INDULKAR\CHAPTER3.xls#a128" TargetMode="External" /><Relationship Id="rId2" Type="http://schemas.openxmlformats.org/officeDocument/2006/relationships/hyperlink" Target="\\ELECTRICAL-GATE\INDULKAR\CHAPTER3.xls#a170" TargetMode="External" /><Relationship Id="rId3" Type="http://schemas.openxmlformats.org/officeDocument/2006/relationships/hyperlink" Target="\\ELECTRICAL-GATE\INDULKAR\CHAPTER3.xls#a195" TargetMode="External" /><Relationship Id="rId4" Type="http://schemas.openxmlformats.org/officeDocument/2006/relationships/hyperlink" Target="\\ELECTRICAL-GATE\INDULKAR\CHAPTER3.xls#a335" TargetMode="External" /><Relationship Id="rId5" Type="http://schemas.openxmlformats.org/officeDocument/2006/relationships/hyperlink" Target="\\ELECTRICAL-GATE\INDULKAR\CHAPTER3.xls#a294" TargetMode="External" /><Relationship Id="rId6" Type="http://schemas.openxmlformats.org/officeDocument/2006/relationships/hyperlink" Target="\\ELECTRICAL-GATE\INDULKAR\CHAPTER3.xls#a368" TargetMode="External" /><Relationship Id="rId7" Type="http://schemas.openxmlformats.org/officeDocument/2006/relationships/hyperlink" Target="\\ELECTRICAL-GATE\INDULKAR\CHAPTER3.xls#a535" TargetMode="External" /><Relationship Id="rId8" Type="http://schemas.openxmlformats.org/officeDocument/2006/relationships/hyperlink" Target="\\ELECTRICAL-GATE\INDULKAR\CHAPTER3.xls#a575" TargetMode="External" /><Relationship Id="rId9" Type="http://schemas.openxmlformats.org/officeDocument/2006/relationships/hyperlink" Target="\\ELECTRICAL-GATE\INDULKAR\CHAPTER3.xls#a612" TargetMode="External" /><Relationship Id="rId10" Type="http://schemas.openxmlformats.org/officeDocument/2006/relationships/hyperlink" Target="\\ELECTRICAL-GATE\INDULKAR\CHAPTER3.xls#a645" TargetMode="External" /><Relationship Id="rId11" Type="http://schemas.openxmlformats.org/officeDocument/2006/relationships/hyperlink" Target="\\ELECTRICAL-GATE\INDULKAR\CHAPTER3.xls#a717" TargetMode="External" /><Relationship Id="rId12" Type="http://schemas.openxmlformats.org/officeDocument/2006/relationships/hyperlink" Target="\\ELECTRICAL-GATE\INDULKAR\CHAPTER3.xls#a759" TargetMode="External" /><Relationship Id="rId13" Type="http://schemas.openxmlformats.org/officeDocument/2006/relationships/hyperlink" Target="\\ELECTRICAL-GATE\INDULKAR\CHAPTER3.xls#a62" TargetMode="External" /><Relationship Id="rId14" Type="http://schemas.openxmlformats.org/officeDocument/2006/relationships/hyperlink" Target="http://cindulkar.tripod.com/index.htm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94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4" max="4" width="6.7109375" style="0" customWidth="1"/>
  </cols>
  <sheetData>
    <row r="1" spans="4:6" ht="15.75">
      <c r="D1" s="33" t="s">
        <v>521</v>
      </c>
      <c r="F1" s="21"/>
    </row>
    <row r="2" spans="1:10" ht="18">
      <c r="A2" s="11" t="s">
        <v>0</v>
      </c>
      <c r="F2" s="21"/>
      <c r="I2" s="13"/>
      <c r="J2" s="13"/>
    </row>
    <row r="3" spans="1:10" ht="18">
      <c r="A3" s="11" t="s">
        <v>411</v>
      </c>
      <c r="H3" s="37"/>
      <c r="I3" s="37"/>
      <c r="J3" s="13"/>
    </row>
    <row r="4" spans="2:10" ht="18">
      <c r="B4" s="9" t="s">
        <v>1</v>
      </c>
      <c r="C4" s="10"/>
      <c r="D4" s="10"/>
      <c r="E4" s="9" t="s">
        <v>2</v>
      </c>
      <c r="F4" s="11"/>
      <c r="G4" s="8"/>
      <c r="H4" s="37"/>
      <c r="I4" s="37"/>
      <c r="J4" s="13"/>
    </row>
    <row r="5" spans="2:10" ht="12.75">
      <c r="B5" s="35">
        <v>3.1</v>
      </c>
      <c r="C5" s="35"/>
      <c r="D5" s="1" t="s">
        <v>3</v>
      </c>
      <c r="G5" s="7"/>
      <c r="H5" s="13"/>
      <c r="J5" s="37"/>
    </row>
    <row r="6" spans="1:10" ht="12.75">
      <c r="A6" s="61"/>
      <c r="B6" s="35">
        <v>3.2</v>
      </c>
      <c r="C6" s="34"/>
      <c r="D6" s="1" t="s">
        <v>4</v>
      </c>
      <c r="H6" s="13"/>
      <c r="J6" s="37"/>
    </row>
    <row r="7" spans="2:10" ht="12.75">
      <c r="B7" s="35">
        <v>3.3</v>
      </c>
      <c r="C7" s="34"/>
      <c r="D7" s="14" t="s">
        <v>5</v>
      </c>
      <c r="J7" s="37"/>
    </row>
    <row r="8" spans="2:10" ht="18">
      <c r="B8" s="35">
        <v>3.4</v>
      </c>
      <c r="C8" s="34"/>
      <c r="D8" s="13" t="s">
        <v>6</v>
      </c>
      <c r="G8" s="11"/>
      <c r="J8" s="37"/>
    </row>
    <row r="9" spans="2:4" ht="12.75">
      <c r="B9" s="35">
        <v>3.5</v>
      </c>
      <c r="C9" s="34"/>
      <c r="D9" t="s">
        <v>185</v>
      </c>
    </row>
    <row r="10" spans="2:4" ht="12.75">
      <c r="B10" s="35">
        <v>3.6</v>
      </c>
      <c r="C10" s="34"/>
      <c r="D10" s="4" t="s">
        <v>212</v>
      </c>
    </row>
    <row r="11" spans="2:4" ht="12.75">
      <c r="B11" s="35">
        <v>3.7</v>
      </c>
      <c r="C11" s="34"/>
      <c r="D11" s="24" t="s">
        <v>612</v>
      </c>
    </row>
    <row r="12" spans="2:5" ht="12.75">
      <c r="B12" s="35">
        <v>3.8</v>
      </c>
      <c r="C12" s="35"/>
      <c r="D12" s="4" t="s">
        <v>316</v>
      </c>
      <c r="E12" s="4"/>
    </row>
    <row r="13" spans="2:4" ht="12.75">
      <c r="B13" s="35">
        <v>3.9</v>
      </c>
      <c r="C13" s="34"/>
      <c r="D13" s="4" t="s">
        <v>355</v>
      </c>
    </row>
    <row r="14" spans="2:4" ht="12.75">
      <c r="B14" s="3"/>
      <c r="D14" s="4" t="s">
        <v>356</v>
      </c>
    </row>
    <row r="15" spans="2:4" ht="12.75">
      <c r="B15" s="36">
        <v>3.1</v>
      </c>
      <c r="C15" s="34"/>
      <c r="D15" t="s">
        <v>524</v>
      </c>
    </row>
    <row r="16" spans="2:7" ht="12.75">
      <c r="B16" s="35">
        <v>3.11</v>
      </c>
      <c r="C16" s="34"/>
      <c r="D16" t="s">
        <v>413</v>
      </c>
      <c r="G16" s="4"/>
    </row>
    <row r="17" spans="2:4" ht="12.75">
      <c r="B17" s="35">
        <v>3.12</v>
      </c>
      <c r="C17" s="34"/>
      <c r="D17" t="s">
        <v>436</v>
      </c>
    </row>
    <row r="18" spans="2:4" ht="12.75">
      <c r="B18" s="35">
        <v>3.13</v>
      </c>
      <c r="C18" s="34"/>
      <c r="D18" t="s">
        <v>522</v>
      </c>
    </row>
    <row r="19" spans="2:4" ht="12.75">
      <c r="B19" s="35">
        <v>3.14</v>
      </c>
      <c r="C19" s="34"/>
      <c r="D19" t="s">
        <v>542</v>
      </c>
    </row>
    <row r="20" spans="2:4" ht="12.75">
      <c r="B20" s="3"/>
      <c r="D20" t="s">
        <v>546</v>
      </c>
    </row>
    <row r="21" spans="2:4" ht="12.75">
      <c r="B21" s="35">
        <v>3.15</v>
      </c>
      <c r="C21" s="35"/>
      <c r="D21" t="s">
        <v>578</v>
      </c>
    </row>
    <row r="22" spans="2:4" ht="12.75">
      <c r="B22" s="35">
        <v>3.16</v>
      </c>
      <c r="C22" s="35"/>
      <c r="D22" t="s">
        <v>641</v>
      </c>
    </row>
    <row r="23" spans="2:4" ht="12.75">
      <c r="B23" s="35">
        <v>3.17</v>
      </c>
      <c r="C23" s="35"/>
      <c r="D23" t="s">
        <v>695</v>
      </c>
    </row>
    <row r="24" spans="2:3" ht="12.75">
      <c r="B24" s="35"/>
      <c r="C24" s="35"/>
    </row>
    <row r="26" spans="1:2" ht="15">
      <c r="A26" s="34" t="s">
        <v>638</v>
      </c>
      <c r="B26" s="64" t="s">
        <v>639</v>
      </c>
    </row>
    <row r="27" ht="15">
      <c r="B27" s="64" t="s">
        <v>640</v>
      </c>
    </row>
    <row r="30" spans="1:4" ht="12.75">
      <c r="A30" s="10" t="s">
        <v>7</v>
      </c>
      <c r="B30" s="12" t="s">
        <v>3</v>
      </c>
      <c r="C30" s="10"/>
      <c r="D30" s="10"/>
    </row>
    <row r="31" spans="2:9" ht="12.75">
      <c r="B31" s="38" t="s">
        <v>8</v>
      </c>
      <c r="C31" s="2"/>
      <c r="D31" s="2"/>
      <c r="E31" s="2"/>
      <c r="F31" s="2"/>
      <c r="G31" s="2"/>
      <c r="H31" s="2"/>
      <c r="I31" s="2"/>
    </row>
    <row r="32" spans="2:9" ht="12.75">
      <c r="B32" s="39" t="s">
        <v>622</v>
      </c>
      <c r="C32" s="2"/>
      <c r="D32" s="2"/>
      <c r="E32" s="2"/>
      <c r="F32" s="2"/>
      <c r="G32" s="2"/>
      <c r="H32" s="2"/>
      <c r="I32" s="2"/>
    </row>
    <row r="33" spans="2:9" ht="12.75">
      <c r="B33" s="39" t="s">
        <v>9</v>
      </c>
      <c r="C33" s="2"/>
      <c r="D33" s="2"/>
      <c r="E33" s="2"/>
      <c r="F33" s="2"/>
      <c r="G33" s="2"/>
      <c r="H33" s="2"/>
      <c r="I33" s="2"/>
    </row>
    <row r="34" spans="2:9" ht="12.75">
      <c r="B34" s="39" t="s">
        <v>10</v>
      </c>
      <c r="C34" s="2"/>
      <c r="D34" s="2"/>
      <c r="E34" s="2"/>
      <c r="F34" s="2"/>
      <c r="G34" s="2"/>
      <c r="H34" s="2"/>
      <c r="I34" s="2"/>
    </row>
    <row r="35" spans="2:9" ht="12.75">
      <c r="B35" s="39" t="s">
        <v>623</v>
      </c>
      <c r="C35" s="2"/>
      <c r="D35" s="2"/>
      <c r="E35" s="2"/>
      <c r="F35" s="2"/>
      <c r="G35" s="2"/>
      <c r="H35" s="2"/>
      <c r="I35" s="2"/>
    </row>
    <row r="36" spans="2:9" ht="12.75">
      <c r="B36" s="39" t="s">
        <v>494</v>
      </c>
      <c r="C36" s="2"/>
      <c r="D36" s="2"/>
      <c r="E36" s="2"/>
      <c r="F36" s="2"/>
      <c r="G36" s="2"/>
      <c r="H36" s="2"/>
      <c r="I36" s="2"/>
    </row>
    <row r="37" spans="2:9" ht="12.75">
      <c r="B37" s="38" t="s">
        <v>624</v>
      </c>
      <c r="C37" s="2"/>
      <c r="D37" s="2"/>
      <c r="E37" s="2"/>
      <c r="F37" s="2"/>
      <c r="G37" s="2"/>
      <c r="H37" s="2"/>
      <c r="I37" s="2"/>
    </row>
    <row r="38" spans="2:9" ht="12.75">
      <c r="B38" s="38" t="s">
        <v>11</v>
      </c>
      <c r="C38" s="2"/>
      <c r="D38" s="2"/>
      <c r="E38" s="2"/>
      <c r="F38" s="2"/>
      <c r="G38" s="2"/>
      <c r="H38" s="2"/>
      <c r="I38" s="2"/>
    </row>
    <row r="39" spans="2:9" ht="12.75">
      <c r="B39" s="38" t="s">
        <v>625</v>
      </c>
      <c r="C39" s="2"/>
      <c r="D39" s="2"/>
      <c r="E39" s="2"/>
      <c r="F39" s="2"/>
      <c r="G39" s="2"/>
      <c r="H39" s="2"/>
      <c r="I39" s="2"/>
    </row>
    <row r="41" spans="1:2" ht="12.75">
      <c r="A41" t="s">
        <v>12</v>
      </c>
      <c r="B41" s="61" t="s">
        <v>13</v>
      </c>
    </row>
    <row r="44" spans="3:5" ht="12.75">
      <c r="C44" s="3" t="s">
        <v>14</v>
      </c>
      <c r="D44" s="3" t="s">
        <v>15</v>
      </c>
      <c r="E44" s="3" t="s">
        <v>16</v>
      </c>
    </row>
    <row r="46" spans="2:7" ht="12.75">
      <c r="B46" t="s">
        <v>17</v>
      </c>
      <c r="D46" t="s">
        <v>18</v>
      </c>
      <c r="E46" s="3" t="s">
        <v>19</v>
      </c>
      <c r="G46" t="s">
        <v>20</v>
      </c>
    </row>
    <row r="49" spans="2:5" ht="12.75">
      <c r="B49" t="s">
        <v>15</v>
      </c>
      <c r="D49">
        <v>0.294</v>
      </c>
      <c r="E49" t="s">
        <v>21</v>
      </c>
    </row>
    <row r="50" spans="2:5" ht="12.75">
      <c r="B50" t="s">
        <v>22</v>
      </c>
      <c r="D50">
        <v>0.144</v>
      </c>
      <c r="E50" t="s">
        <v>21</v>
      </c>
    </row>
    <row r="51" spans="2:5" ht="12.75">
      <c r="B51" t="s">
        <v>14</v>
      </c>
      <c r="D51">
        <v>0.503</v>
      </c>
      <c r="E51" t="s">
        <v>21</v>
      </c>
    </row>
    <row r="52" spans="2:5" ht="12.75">
      <c r="B52" t="s">
        <v>16</v>
      </c>
      <c r="D52">
        <v>0.209</v>
      </c>
      <c r="E52" t="s">
        <v>21</v>
      </c>
    </row>
    <row r="53" spans="2:5" ht="12.75">
      <c r="B53" t="s">
        <v>19</v>
      </c>
      <c r="D53">
        <v>13.25</v>
      </c>
      <c r="E53" t="s">
        <v>21</v>
      </c>
    </row>
    <row r="54" ht="12.75">
      <c r="B54" t="s">
        <v>23</v>
      </c>
    </row>
    <row r="55" spans="2:4" ht="12.75">
      <c r="B55" t="s">
        <v>24</v>
      </c>
      <c r="D55" s="19">
        <v>0.02</v>
      </c>
    </row>
    <row r="56" spans="2:4" ht="12.75">
      <c r="B56" s="1" t="s">
        <v>25</v>
      </c>
      <c r="D56" s="19"/>
    </row>
    <row r="57" spans="4:5" ht="12.75">
      <c r="D57" s="20">
        <f>(D50*D53*D53/D55)/((D50/D55)*(D50/D55)+(D52+D53)*(D52+D53))</f>
        <v>5.425464002931593</v>
      </c>
      <c r="E57" t="s">
        <v>21</v>
      </c>
    </row>
    <row r="58" spans="2:7" ht="12.75">
      <c r="B58" s="1" t="s">
        <v>26</v>
      </c>
      <c r="D58" s="19"/>
      <c r="F58" s="4"/>
      <c r="G58" s="4"/>
    </row>
    <row r="59" spans="4:5" ht="12.75">
      <c r="D59" s="19">
        <f>((D50*D50*D53/(D55*D55))+D52*D52*D53+D52*D53*D53)/((D50/D55)*(D50/D55)+(D52+D53)*(D52+D53))</f>
        <v>3.108149997853292</v>
      </c>
      <c r="E59" t="s">
        <v>21</v>
      </c>
    </row>
    <row r="60" spans="2:4" ht="12.75">
      <c r="B60" t="s">
        <v>27</v>
      </c>
      <c r="D60" s="19"/>
    </row>
    <row r="61" spans="2:8" ht="12.75">
      <c r="B61" t="s">
        <v>28</v>
      </c>
      <c r="D61" s="19">
        <f>D49+D57</f>
        <v>5.719464002931592</v>
      </c>
      <c r="E61" t="s">
        <v>21</v>
      </c>
      <c r="H61" s="4"/>
    </row>
    <row r="62" spans="1:5" ht="12.75">
      <c r="B62" t="s">
        <v>29</v>
      </c>
      <c r="D62" s="19">
        <f>D51+D59</f>
        <v>3.611149997853292</v>
      </c>
      <c r="E62" t="s">
        <v>21</v>
      </c>
    </row>
    <row r="63" spans="2:5" ht="12.75">
      <c r="B63" t="s">
        <v>30</v>
      </c>
      <c r="D63" s="19">
        <f>SQRT(D61*D61+D62*D62)</f>
        <v>6.764072204510099</v>
      </c>
      <c r="E63" t="s">
        <v>21</v>
      </c>
    </row>
    <row r="64" spans="2:5" ht="12.75">
      <c r="B64" s="1" t="s">
        <v>31</v>
      </c>
      <c r="D64" s="19">
        <f>(ATAN(D62/D61))*180/3.1416</f>
        <v>32.267382514128144</v>
      </c>
      <c r="E64" t="s">
        <v>32</v>
      </c>
    </row>
    <row r="65" spans="2:4" ht="12.75">
      <c r="B65" t="s">
        <v>33</v>
      </c>
      <c r="D65" s="19"/>
    </row>
    <row r="66" spans="4:5" ht="12.75">
      <c r="D66" s="19">
        <f>220/1.73205</f>
        <v>127.01711844346295</v>
      </c>
      <c r="E66" t="s">
        <v>34</v>
      </c>
    </row>
    <row r="67" spans="1:6" ht="12.75">
      <c r="A67" s="1" t="s">
        <v>35</v>
      </c>
      <c r="D67" s="19">
        <f>D66/D63</f>
        <v>18.77820262751947</v>
      </c>
      <c r="E67" t="s">
        <v>36</v>
      </c>
      <c r="F67" s="61" t="s">
        <v>37</v>
      </c>
    </row>
    <row r="68" spans="2:6" ht="12.75">
      <c r="B68" s="1" t="s">
        <v>38</v>
      </c>
      <c r="D68" s="19">
        <f>COS(D64*3.14/180)</f>
        <v>0.8457182816793805</v>
      </c>
      <c r="E68" t="s">
        <v>39</v>
      </c>
      <c r="F68" s="61" t="s">
        <v>37</v>
      </c>
    </row>
    <row r="69" spans="2:5" ht="12.75">
      <c r="B69" t="s">
        <v>40</v>
      </c>
      <c r="D69" s="19">
        <v>50</v>
      </c>
      <c r="E69" t="s">
        <v>41</v>
      </c>
    </row>
    <row r="70" spans="2:4" ht="12.75">
      <c r="B70" t="s">
        <v>42</v>
      </c>
      <c r="D70" s="19">
        <v>6</v>
      </c>
    </row>
    <row r="71" spans="2:5" ht="12.75">
      <c r="B71" s="1" t="s">
        <v>43</v>
      </c>
      <c r="D71" s="55">
        <f>120*D69/D70</f>
        <v>1000</v>
      </c>
      <c r="E71" t="s">
        <v>44</v>
      </c>
    </row>
    <row r="72" spans="2:5" ht="12.75">
      <c r="B72" s="5" t="s">
        <v>45</v>
      </c>
      <c r="D72" s="55">
        <f>2*3.1416*D71</f>
        <v>6283.2</v>
      </c>
      <c r="E72" t="s">
        <v>46</v>
      </c>
    </row>
    <row r="73" spans="2:4" ht="12.75">
      <c r="B73" t="s">
        <v>47</v>
      </c>
      <c r="D73" s="19"/>
    </row>
    <row r="74" spans="4:5" ht="12.75">
      <c r="D74" s="19">
        <f>(1-D55)*D71</f>
        <v>980</v>
      </c>
      <c r="E74" t="s">
        <v>44</v>
      </c>
    </row>
    <row r="75" spans="2:4" ht="12.75">
      <c r="B75" t="s">
        <v>48</v>
      </c>
      <c r="D75" s="19"/>
    </row>
    <row r="76" spans="4:5" ht="12.75">
      <c r="D76" s="55">
        <f>3*D67*D67*D57</f>
        <v>5739.395899936474</v>
      </c>
      <c r="E76" t="s">
        <v>49</v>
      </c>
    </row>
    <row r="77" spans="2:4" ht="12.75">
      <c r="B77" t="s">
        <v>50</v>
      </c>
      <c r="D77" s="55"/>
    </row>
    <row r="78" spans="4:5" ht="12.75">
      <c r="D78" s="55">
        <f>(1-D55)*D76</f>
        <v>5624.607981937745</v>
      </c>
      <c r="E78" t="s">
        <v>49</v>
      </c>
    </row>
    <row r="79" spans="4:6" ht="12.75">
      <c r="D79" s="19"/>
      <c r="F79" s="6"/>
    </row>
    <row r="80" spans="1:4" ht="12.75">
      <c r="A80" s="6"/>
      <c r="B80" t="s">
        <v>51</v>
      </c>
      <c r="D80" s="19"/>
    </row>
    <row r="81" spans="4:5" ht="12.75">
      <c r="D81" s="19">
        <v>403</v>
      </c>
      <c r="E81" t="s">
        <v>49</v>
      </c>
    </row>
    <row r="82" spans="2:4" ht="12.75">
      <c r="B82" s="1" t="s">
        <v>52</v>
      </c>
      <c r="D82" s="19"/>
    </row>
    <row r="83" spans="4:5" ht="12.75">
      <c r="D83" s="55">
        <f>D78-D81</f>
        <v>5221.607981937745</v>
      </c>
      <c r="E83" t="s">
        <v>49</v>
      </c>
    </row>
    <row r="84" ht="12.75">
      <c r="D84" s="19"/>
    </row>
    <row r="85" spans="2:4" ht="12.75">
      <c r="B85" t="s">
        <v>53</v>
      </c>
      <c r="D85" s="19"/>
    </row>
    <row r="86" spans="4:5" ht="12.75">
      <c r="D86" s="19">
        <f>D83*60/(2*3.14*D74)</f>
        <v>50.90609627522823</v>
      </c>
      <c r="E86" t="s">
        <v>54</v>
      </c>
    </row>
    <row r="87" spans="2:4" ht="12.75">
      <c r="B87" t="s">
        <v>55</v>
      </c>
      <c r="D87" s="19"/>
    </row>
    <row r="88" spans="4:5" ht="12.75">
      <c r="D88" s="19">
        <f>D55*D76</f>
        <v>114.78791799872948</v>
      </c>
      <c r="E88" t="s">
        <v>49</v>
      </c>
    </row>
    <row r="89" spans="2:4" ht="12.75">
      <c r="B89" t="s">
        <v>56</v>
      </c>
      <c r="D89" s="19"/>
    </row>
    <row r="90" spans="4:5" ht="12.75">
      <c r="D90" s="19">
        <f>3*D67*D67*D49</f>
        <v>311.01162843759795</v>
      </c>
      <c r="E90" t="s">
        <v>49</v>
      </c>
    </row>
    <row r="91" spans="2:4" ht="12.75">
      <c r="B91" t="s">
        <v>57</v>
      </c>
      <c r="D91" s="19"/>
    </row>
    <row r="92" spans="4:6" ht="13.5" thickBot="1">
      <c r="D92" s="19">
        <f>D83/(D83+D81+D88+D90)</f>
        <v>0.863017566577197</v>
      </c>
      <c r="F92" s="61" t="s">
        <v>37</v>
      </c>
    </row>
    <row r="93" spans="4:6" ht="13.5" thickBot="1">
      <c r="D93" s="19"/>
      <c r="E93" s="29" t="s">
        <v>352</v>
      </c>
      <c r="F93" s="30"/>
    </row>
    <row r="94" spans="1:2" ht="12.75">
      <c r="A94" s="10" t="s">
        <v>58</v>
      </c>
      <c r="B94" s="21" t="s">
        <v>59</v>
      </c>
    </row>
    <row r="95" ht="12.75">
      <c r="B95" s="38" t="s">
        <v>60</v>
      </c>
    </row>
    <row r="96" ht="12.75">
      <c r="B96" s="38" t="s">
        <v>61</v>
      </c>
    </row>
    <row r="97" ht="12.75">
      <c r="B97" s="40" t="s">
        <v>495</v>
      </c>
    </row>
    <row r="98" ht="12.75">
      <c r="B98" s="40" t="s">
        <v>62</v>
      </c>
    </row>
    <row r="99" ht="12.75">
      <c r="B99" s="40" t="s">
        <v>63</v>
      </c>
    </row>
    <row r="102" spans="2:5" ht="12.75">
      <c r="B102" t="s">
        <v>64</v>
      </c>
      <c r="D102">
        <v>0.4</v>
      </c>
      <c r="E102" t="s">
        <v>21</v>
      </c>
    </row>
    <row r="103" spans="2:5" ht="12.75">
      <c r="B103" t="s">
        <v>65</v>
      </c>
      <c r="D103">
        <v>4</v>
      </c>
      <c r="E103" t="s">
        <v>21</v>
      </c>
    </row>
    <row r="104" ht="12.75">
      <c r="B104" t="s">
        <v>66</v>
      </c>
    </row>
    <row r="105" ht="12.75">
      <c r="D105">
        <f>D102/D103</f>
        <v>0.1</v>
      </c>
    </row>
    <row r="106" spans="2:5" ht="12.75">
      <c r="B106" t="s">
        <v>40</v>
      </c>
      <c r="D106">
        <v>50</v>
      </c>
      <c r="E106" t="s">
        <v>41</v>
      </c>
    </row>
    <row r="107" spans="2:4" ht="12.75">
      <c r="B107" t="s">
        <v>42</v>
      </c>
      <c r="D107">
        <v>4</v>
      </c>
    </row>
    <row r="108" spans="2:5" ht="12.75">
      <c r="B108" s="1" t="s">
        <v>43</v>
      </c>
      <c r="D108">
        <f>120*D106/D107</f>
        <v>1500</v>
      </c>
      <c r="E108" t="s">
        <v>44</v>
      </c>
    </row>
    <row r="109" ht="12.75">
      <c r="B109" t="s">
        <v>67</v>
      </c>
    </row>
    <row r="110" spans="4:6" ht="12.75">
      <c r="D110">
        <f>D108*(1-D105)</f>
        <v>1350</v>
      </c>
      <c r="E110" t="s">
        <v>44</v>
      </c>
      <c r="F110" s="61" t="s">
        <v>37</v>
      </c>
    </row>
    <row r="112" ht="12.75">
      <c r="B112" t="s">
        <v>68</v>
      </c>
    </row>
    <row r="113" ht="12.75">
      <c r="B113" s="1" t="s">
        <v>69</v>
      </c>
    </row>
    <row r="114" spans="4:6" ht="12.75">
      <c r="D114">
        <f>(0.4/(0.4*0.4+4*4))/(D105*D102/(D102*D102+D105*D105*D103*D103))</f>
        <v>0.19801980198019803</v>
      </c>
      <c r="F114" s="61" t="s">
        <v>37</v>
      </c>
    </row>
    <row r="117" ht="12.75">
      <c r="J117">
        <f>0.198*0.125</f>
        <v>0.02475</v>
      </c>
    </row>
    <row r="118" ht="12.75">
      <c r="B118" t="s">
        <v>70</v>
      </c>
    </row>
    <row r="119" spans="4:5" ht="12.75">
      <c r="D119">
        <f>D105*D102/(D102*D102+D105*D105*D103*D103)</f>
        <v>0.125</v>
      </c>
      <c r="E119" t="s">
        <v>71</v>
      </c>
    </row>
    <row r="120" spans="2:4" ht="12.75">
      <c r="B120" t="s">
        <v>72</v>
      </c>
      <c r="D120" s="1" t="s">
        <v>73</v>
      </c>
    </row>
    <row r="121" ht="12.75">
      <c r="B121" s="1" t="s">
        <v>74</v>
      </c>
    </row>
    <row r="122" ht="12.75">
      <c r="B122" s="2" t="s">
        <v>496</v>
      </c>
    </row>
    <row r="123" spans="2:6" ht="12.75">
      <c r="B123" t="s">
        <v>75</v>
      </c>
      <c r="D123" s="1" t="s">
        <v>76</v>
      </c>
      <c r="F123" s="1" t="s">
        <v>77</v>
      </c>
    </row>
    <row r="124" ht="12.75">
      <c r="B124" t="s">
        <v>78</v>
      </c>
    </row>
    <row r="125" spans="1:7" ht="12.75">
      <c r="A125" s="1" t="s">
        <v>79</v>
      </c>
      <c r="G125" t="s">
        <v>80</v>
      </c>
    </row>
    <row r="126" ht="12.75">
      <c r="B126" t="s">
        <v>81</v>
      </c>
    </row>
    <row r="127" spans="2:4" ht="12.75">
      <c r="B127" t="s">
        <v>82</v>
      </c>
      <c r="D127">
        <v>0.0625</v>
      </c>
    </row>
    <row r="128" spans="1:4" ht="12.75">
      <c r="B128" t="s">
        <v>83</v>
      </c>
      <c r="D128">
        <f>0.125*0.4-1</f>
        <v>-0.95</v>
      </c>
    </row>
    <row r="129" spans="2:5" ht="12.75">
      <c r="B129" t="s">
        <v>84</v>
      </c>
      <c r="D129">
        <f>0.0625*0.4*0.4+0.0625*4*4-0.4</f>
        <v>0.61</v>
      </c>
      <c r="E129" t="s">
        <v>71</v>
      </c>
    </row>
    <row r="130" spans="2:4" ht="12.75">
      <c r="B130" t="s">
        <v>85</v>
      </c>
      <c r="D130" s="1" t="s">
        <v>86</v>
      </c>
    </row>
    <row r="131" spans="4:8" ht="12.75">
      <c r="D131">
        <f>(-D128+SQRT(D128*D128-4*D127*D129))/(2*D127)</f>
        <v>14.528203230275508</v>
      </c>
      <c r="E131" t="s">
        <v>21</v>
      </c>
      <c r="G131" t="s">
        <v>87</v>
      </c>
      <c r="H131" s="61" t="s">
        <v>37</v>
      </c>
    </row>
    <row r="132" ht="12.75">
      <c r="D132" s="1" t="s">
        <v>88</v>
      </c>
    </row>
    <row r="133" spans="4:7" ht="12.75">
      <c r="D133">
        <f>(-D128-SQRT(D128*D128-4*D127*D129))/(2*D127)</f>
        <v>0.6717967697244909</v>
      </c>
      <c r="E133" t="s">
        <v>21</v>
      </c>
      <c r="G133" t="s">
        <v>89</v>
      </c>
    </row>
    <row r="134" ht="13.5" thickBot="1">
      <c r="B134" t="s">
        <v>90</v>
      </c>
    </row>
    <row r="135" spans="5:6" ht="13.5" thickBot="1">
      <c r="E135" s="29" t="s">
        <v>352</v>
      </c>
      <c r="F135" s="30"/>
    </row>
    <row r="136" spans="1:3" ht="12.75">
      <c r="A136" s="12" t="s">
        <v>91</v>
      </c>
      <c r="B136" s="12" t="s">
        <v>5</v>
      </c>
      <c r="C136" s="10"/>
    </row>
    <row r="137" ht="12.75">
      <c r="B137" s="38" t="s">
        <v>626</v>
      </c>
    </row>
    <row r="138" ht="12.75">
      <c r="B138" s="39" t="s">
        <v>497</v>
      </c>
    </row>
    <row r="139" ht="12.75">
      <c r="B139" s="38" t="s">
        <v>627</v>
      </c>
    </row>
    <row r="140" ht="12.75">
      <c r="B140" s="40" t="s">
        <v>412</v>
      </c>
    </row>
    <row r="141" ht="12.75">
      <c r="B141" s="38" t="s">
        <v>92</v>
      </c>
    </row>
    <row r="142" ht="12.75">
      <c r="B142" s="40" t="s">
        <v>93</v>
      </c>
    </row>
    <row r="143" ht="12.75">
      <c r="B143" s="40"/>
    </row>
    <row r="144" spans="1:2" ht="12.75">
      <c r="A144" t="s">
        <v>12</v>
      </c>
      <c r="B144" s="2" t="s">
        <v>94</v>
      </c>
    </row>
    <row r="145" spans="4:5" ht="12.75">
      <c r="D145">
        <f>50/1.73205</f>
        <v>28.86752691896885</v>
      </c>
      <c r="E145" t="s">
        <v>34</v>
      </c>
    </row>
    <row r="146" ht="12.75">
      <c r="B146" s="21" t="s">
        <v>95</v>
      </c>
    </row>
    <row r="147" spans="2:5" ht="12.75">
      <c r="B147" s="1" t="s">
        <v>96</v>
      </c>
      <c r="D147">
        <v>0.5</v>
      </c>
      <c r="E147" t="s">
        <v>21</v>
      </c>
    </row>
    <row r="148" spans="2:5" ht="12.75">
      <c r="B148" s="1" t="s">
        <v>97</v>
      </c>
      <c r="D148">
        <v>3.5</v>
      </c>
      <c r="E148" t="s">
        <v>21</v>
      </c>
    </row>
    <row r="149" ht="12.75">
      <c r="B149" t="s">
        <v>98</v>
      </c>
    </row>
    <row r="150" spans="4:5" ht="12.75">
      <c r="D150">
        <v>4</v>
      </c>
      <c r="E150" t="s">
        <v>21</v>
      </c>
    </row>
    <row r="151" ht="12.75">
      <c r="B151" t="s">
        <v>99</v>
      </c>
    </row>
    <row r="152" spans="4:5" ht="12.75">
      <c r="D152">
        <f>SQRT((D147+D150)*(D147+D150)+D148*D148)</f>
        <v>5.70087712549569</v>
      </c>
      <c r="E152" t="s">
        <v>21</v>
      </c>
    </row>
    <row r="153" spans="2:6" ht="12.75">
      <c r="B153" t="s">
        <v>100</v>
      </c>
      <c r="D153">
        <f>D145/D152</f>
        <v>5.063699196368634</v>
      </c>
      <c r="E153" t="s">
        <v>101</v>
      </c>
      <c r="F153" s="61" t="s">
        <v>37</v>
      </c>
    </row>
    <row r="154" spans="2:6" ht="12.75">
      <c r="B154" t="s">
        <v>102</v>
      </c>
      <c r="D154">
        <f>((D147+D150)/D152)</f>
        <v>0.7893522173763263</v>
      </c>
      <c r="E154" t="s">
        <v>39</v>
      </c>
      <c r="F154" s="61" t="s">
        <v>37</v>
      </c>
    </row>
    <row r="155" ht="12.75">
      <c r="B155" s="21" t="s">
        <v>103</v>
      </c>
    </row>
    <row r="156" ht="12.75">
      <c r="B156" s="1" t="s">
        <v>104</v>
      </c>
    </row>
    <row r="157" spans="4:5" ht="12.75">
      <c r="D157">
        <f>SQRT(D147*D147+D148*D148)</f>
        <v>3.5355339059327378</v>
      </c>
      <c r="E157" t="s">
        <v>21</v>
      </c>
    </row>
    <row r="158" spans="2:8" ht="12.75">
      <c r="B158" t="s">
        <v>105</v>
      </c>
      <c r="D158">
        <f>D145/D157</f>
        <v>8.164969616195231</v>
      </c>
      <c r="E158" t="s">
        <v>101</v>
      </c>
      <c r="H158" s="61" t="s">
        <v>37</v>
      </c>
    </row>
    <row r="159" spans="2:8" ht="13.5" thickBot="1">
      <c r="B159" t="s">
        <v>106</v>
      </c>
      <c r="D159">
        <f>D147/D157</f>
        <v>0.1414213562373095</v>
      </c>
      <c r="E159" t="s">
        <v>21</v>
      </c>
      <c r="F159" t="s">
        <v>107</v>
      </c>
      <c r="H159" s="61" t="s">
        <v>37</v>
      </c>
    </row>
    <row r="160" spans="5:6" ht="13.5" thickBot="1">
      <c r="E160" s="29" t="s">
        <v>352</v>
      </c>
      <c r="F160" s="30"/>
    </row>
    <row r="161" spans="1:2" ht="12.75">
      <c r="A161" t="s">
        <v>108</v>
      </c>
      <c r="B161" s="10" t="s">
        <v>6</v>
      </c>
    </row>
    <row r="162" spans="2:4" ht="12.75">
      <c r="B162" s="39" t="s">
        <v>498</v>
      </c>
      <c r="C162" s="4"/>
      <c r="D162" s="4"/>
    </row>
    <row r="163" spans="2:4" ht="12.75">
      <c r="B163" s="39" t="s">
        <v>109</v>
      </c>
      <c r="C163" s="4"/>
      <c r="D163" s="4"/>
    </row>
    <row r="164" spans="2:4" ht="12.75">
      <c r="B164" s="39" t="s">
        <v>499</v>
      </c>
      <c r="C164" s="4"/>
      <c r="D164" s="4"/>
    </row>
    <row r="165" spans="2:4" ht="12.75">
      <c r="B165" s="40" t="s">
        <v>110</v>
      </c>
      <c r="C165" s="4"/>
      <c r="D165" s="4"/>
    </row>
    <row r="166" spans="2:4" ht="12.75">
      <c r="B166" s="39" t="s">
        <v>500</v>
      </c>
      <c r="C166" s="4"/>
      <c r="D166" s="4"/>
    </row>
    <row r="167" spans="2:4" ht="12.75">
      <c r="B167" s="39" t="s">
        <v>501</v>
      </c>
      <c r="C167" s="4"/>
      <c r="D167" s="4"/>
    </row>
    <row r="168" spans="2:4" ht="12.75">
      <c r="B168" s="38" t="s">
        <v>111</v>
      </c>
      <c r="C168" s="4"/>
      <c r="D168" s="4"/>
    </row>
    <row r="169" spans="2:4" ht="12.75">
      <c r="B169" s="39" t="s">
        <v>502</v>
      </c>
      <c r="C169" s="4"/>
      <c r="D169" s="4"/>
    </row>
    <row r="170" spans="1:4" ht="12.75">
      <c r="B170" s="39" t="s">
        <v>503</v>
      </c>
      <c r="C170" s="4"/>
      <c r="D170" s="4"/>
    </row>
    <row r="171" spans="2:4" ht="12.75">
      <c r="B171" s="38" t="s">
        <v>112</v>
      </c>
      <c r="C171" s="4"/>
      <c r="D171" s="4"/>
    </row>
    <row r="172" spans="2:4" ht="12.75">
      <c r="B172" s="40" t="s">
        <v>504</v>
      </c>
      <c r="C172" s="4"/>
      <c r="D172" s="4"/>
    </row>
    <row r="174" spans="1:5" ht="12.75">
      <c r="A174" t="s">
        <v>505</v>
      </c>
      <c r="B174" s="46" t="s">
        <v>113</v>
      </c>
      <c r="C174" s="47"/>
      <c r="D174" s="47"/>
      <c r="E174" s="48"/>
    </row>
    <row r="175" spans="2:5" ht="12.75">
      <c r="B175" s="49" t="s">
        <v>114</v>
      </c>
      <c r="C175" s="45" t="s">
        <v>115</v>
      </c>
      <c r="D175" s="45"/>
      <c r="E175" s="50" t="s">
        <v>115</v>
      </c>
    </row>
    <row r="179" ht="12.75">
      <c r="I179" s="41"/>
    </row>
    <row r="180" spans="4:9" ht="12.75">
      <c r="D180" s="41" t="s">
        <v>116</v>
      </c>
      <c r="E180" s="41"/>
      <c r="F180" s="41"/>
      <c r="G180" s="41"/>
      <c r="H180" s="41" t="s">
        <v>117</v>
      </c>
      <c r="I180" s="41"/>
    </row>
    <row r="181" spans="4:9" ht="12.75">
      <c r="D181" s="41"/>
      <c r="E181" s="41"/>
      <c r="F181" s="42" t="s">
        <v>118</v>
      </c>
      <c r="G181" s="41"/>
      <c r="H181" s="41"/>
      <c r="I181" s="41"/>
    </row>
    <row r="182" spans="4:9" ht="12.75">
      <c r="D182" s="41" t="s">
        <v>119</v>
      </c>
      <c r="E182" s="41"/>
      <c r="F182" s="41"/>
      <c r="G182" s="41"/>
      <c r="H182" s="41"/>
      <c r="I182" s="41"/>
    </row>
    <row r="183" spans="4:9" ht="12.75">
      <c r="D183" s="41"/>
      <c r="E183" s="43" t="s">
        <v>120</v>
      </c>
      <c r="F183" s="41"/>
      <c r="G183" s="41" t="s">
        <v>121</v>
      </c>
      <c r="H183" s="41"/>
      <c r="I183" s="41" t="s">
        <v>122</v>
      </c>
    </row>
    <row r="184" spans="4:9" ht="12.75">
      <c r="D184" s="41"/>
      <c r="E184" s="41"/>
      <c r="F184" s="41" t="s">
        <v>123</v>
      </c>
      <c r="G184" s="41" t="s">
        <v>124</v>
      </c>
      <c r="H184" s="41"/>
      <c r="I184" s="41"/>
    </row>
    <row r="185" spans="4:9" ht="12.75">
      <c r="D185" s="41"/>
      <c r="E185" s="42" t="s">
        <v>125</v>
      </c>
      <c r="F185" s="44" t="s">
        <v>126</v>
      </c>
      <c r="G185" s="41"/>
      <c r="H185" s="41"/>
      <c r="I185" s="41"/>
    </row>
    <row r="186" spans="1:5" ht="12.75">
      <c r="A186" t="s">
        <v>116</v>
      </c>
      <c r="C186" s="3" t="s">
        <v>117</v>
      </c>
      <c r="E186" t="s">
        <v>114</v>
      </c>
    </row>
    <row r="187" spans="3:4" ht="12.75">
      <c r="C187" s="3"/>
      <c r="D187" s="16" t="s">
        <v>128</v>
      </c>
    </row>
    <row r="188" ht="12.75">
      <c r="C188" s="3" t="s">
        <v>118</v>
      </c>
    </row>
    <row r="189" ht="12.75">
      <c r="A189" t="s">
        <v>119</v>
      </c>
    </row>
    <row r="190" spans="2:7" ht="12.75">
      <c r="B190" s="1" t="s">
        <v>120</v>
      </c>
      <c r="C190" t="s">
        <v>123</v>
      </c>
      <c r="D190" s="15" t="s">
        <v>121</v>
      </c>
      <c r="F190" s="1" t="s">
        <v>129</v>
      </c>
      <c r="G190" s="1" t="s">
        <v>130</v>
      </c>
    </row>
    <row r="191" ht="12.75">
      <c r="D191" t="s">
        <v>124</v>
      </c>
    </row>
    <row r="192" spans="2:8" ht="12.75">
      <c r="B192" s="3" t="s">
        <v>125</v>
      </c>
      <c r="C192" s="3" t="s">
        <v>126</v>
      </c>
      <c r="G192" s="51" t="s">
        <v>127</v>
      </c>
      <c r="H192" s="52"/>
    </row>
    <row r="193" ht="12.75">
      <c r="B193" s="21" t="s">
        <v>143</v>
      </c>
    </row>
    <row r="194" spans="2:5" ht="12.75">
      <c r="B194" t="s">
        <v>131</v>
      </c>
      <c r="D194">
        <f>420/1.73205</f>
        <v>242.48722611933835</v>
      </c>
      <c r="E194" t="s">
        <v>132</v>
      </c>
    </row>
    <row r="195" spans="1:5" ht="12.75">
      <c r="B195" s="1" t="s">
        <v>133</v>
      </c>
      <c r="D195">
        <v>500</v>
      </c>
      <c r="E195" t="s">
        <v>49</v>
      </c>
    </row>
    <row r="196" spans="2:6" ht="12.75">
      <c r="B196" t="s">
        <v>134</v>
      </c>
      <c r="D196">
        <v>230</v>
      </c>
      <c r="E196" t="s">
        <v>49</v>
      </c>
      <c r="F196" t="s">
        <v>71</v>
      </c>
    </row>
    <row r="197" spans="2:5" ht="12.75">
      <c r="B197" s="1" t="s">
        <v>135</v>
      </c>
      <c r="D197">
        <f>D195-D196</f>
        <v>270</v>
      </c>
      <c r="E197" t="s">
        <v>49</v>
      </c>
    </row>
    <row r="198" spans="2:5" ht="12.75">
      <c r="B198" t="s">
        <v>136</v>
      </c>
      <c r="D198">
        <v>90</v>
      </c>
      <c r="E198" t="s">
        <v>49</v>
      </c>
    </row>
    <row r="199" spans="2:5" ht="12.75">
      <c r="B199" s="1" t="s">
        <v>137</v>
      </c>
      <c r="D199" s="55">
        <f>D194*D194/D198</f>
        <v>653.3339425672347</v>
      </c>
      <c r="E199" t="s">
        <v>21</v>
      </c>
    </row>
    <row r="200" spans="2:5" ht="12.75">
      <c r="B200" t="s">
        <v>138</v>
      </c>
      <c r="D200" s="22">
        <f>D194/D199</f>
        <v>0.37115357142857147</v>
      </c>
      <c r="E200" t="s">
        <v>139</v>
      </c>
    </row>
    <row r="201" spans="2:5" ht="12.75">
      <c r="B201" t="s">
        <v>140</v>
      </c>
      <c r="D201" s="22">
        <v>6.7</v>
      </c>
      <c r="E201" t="s">
        <v>139</v>
      </c>
    </row>
    <row r="202" spans="2:5" ht="12.75">
      <c r="B202" t="s">
        <v>141</v>
      </c>
      <c r="D202" s="22">
        <f>SQRT(D201*D201-D200*D200)</f>
        <v>6.689711879178042</v>
      </c>
      <c r="E202" t="s">
        <v>139</v>
      </c>
    </row>
    <row r="203" spans="2:5" ht="12.75">
      <c r="B203" t="s">
        <v>142</v>
      </c>
      <c r="D203" s="22">
        <f>D194/D202</f>
        <v>36.24778323773377</v>
      </c>
      <c r="E203" t="s">
        <v>21</v>
      </c>
    </row>
    <row r="205" ht="12.75">
      <c r="B205" s="21" t="s">
        <v>144</v>
      </c>
    </row>
    <row r="206" ht="12.75">
      <c r="B206" t="s">
        <v>145</v>
      </c>
    </row>
    <row r="207" spans="4:5" ht="12.75">
      <c r="D207" s="22">
        <f>99/1.73</f>
        <v>57.225433526011564</v>
      </c>
      <c r="E207" t="s">
        <v>132</v>
      </c>
    </row>
    <row r="208" spans="2:4" ht="12.75">
      <c r="B208" t="s">
        <v>146</v>
      </c>
      <c r="D208" s="22"/>
    </row>
    <row r="209" spans="4:5" ht="12.75">
      <c r="D209" s="22">
        <v>14</v>
      </c>
      <c r="E209" t="s">
        <v>139</v>
      </c>
    </row>
    <row r="210" spans="2:5" ht="12.75">
      <c r="B210" t="s">
        <v>147</v>
      </c>
      <c r="D210" s="22">
        <f>D207/D209</f>
        <v>4.087530966143683</v>
      </c>
      <c r="E210" t="s">
        <v>21</v>
      </c>
    </row>
    <row r="211" spans="2:7" ht="12.75">
      <c r="B211" t="s">
        <v>148</v>
      </c>
      <c r="D211" s="55">
        <v>980</v>
      </c>
      <c r="E211" t="s">
        <v>49</v>
      </c>
      <c r="G211" s="17"/>
    </row>
    <row r="212" spans="1:5" ht="12.75">
      <c r="A212" s="17"/>
      <c r="B212" t="s">
        <v>149</v>
      </c>
      <c r="D212" s="22">
        <f>D211/(3*D209*D209)</f>
        <v>1.6666666666666667</v>
      </c>
      <c r="E212" t="s">
        <v>21</v>
      </c>
    </row>
    <row r="213" spans="1:4" ht="12.75">
      <c r="A213" s="17"/>
      <c r="B213" t="s">
        <v>150</v>
      </c>
      <c r="D213" s="22"/>
    </row>
    <row r="214" spans="4:5" ht="12.75">
      <c r="D214" s="22">
        <f>SQRT(D210*D210-D212*D212)</f>
        <v>3.7323091540500415</v>
      </c>
      <c r="E214" t="s">
        <v>21</v>
      </c>
    </row>
    <row r="215" spans="2:4" ht="12.75">
      <c r="B215" t="s">
        <v>158</v>
      </c>
      <c r="D215" s="22">
        <v>0.03</v>
      </c>
    </row>
    <row r="216" ht="12.75">
      <c r="B216" s="21" t="s">
        <v>151</v>
      </c>
    </row>
    <row r="217" ht="12.75">
      <c r="B217" t="s">
        <v>152</v>
      </c>
    </row>
    <row r="218" ht="12.75">
      <c r="B218" t="s">
        <v>153</v>
      </c>
    </row>
    <row r="219" ht="12.75">
      <c r="D219" s="22">
        <f>D194*28.603/(28.603*28.603+3.727*3.727)</f>
        <v>8.336150941084014</v>
      </c>
    </row>
    <row r="220" spans="2:4" ht="12.75">
      <c r="B220" t="s">
        <v>154</v>
      </c>
      <c r="D220" s="22"/>
    </row>
    <row r="221" ht="12.75">
      <c r="D221" s="22">
        <f>-D194*3.727/(28.603*28.603+3.727*3.727)</f>
        <v>-1.0862089486214774</v>
      </c>
    </row>
    <row r="222" spans="2:4" ht="12.75">
      <c r="B222" t="s">
        <v>155</v>
      </c>
      <c r="D222" s="22"/>
    </row>
    <row r="223" spans="4:5" ht="12.75">
      <c r="D223" s="22">
        <f>SQRT(D219*D219+D221*D221)</f>
        <v>8.406620152748742</v>
      </c>
      <c r="E223" t="s">
        <v>139</v>
      </c>
    </row>
    <row r="224" spans="2:5" ht="12.75">
      <c r="B224" t="s">
        <v>156</v>
      </c>
      <c r="D224" s="22">
        <f>(180/3.1416)*ATAN(D221/D219)</f>
        <v>-7.42385450968131</v>
      </c>
      <c r="E224" t="s">
        <v>32</v>
      </c>
    </row>
    <row r="225" spans="2:5" ht="12.75">
      <c r="B225" t="s">
        <v>159</v>
      </c>
      <c r="D225" s="22">
        <v>0.833</v>
      </c>
      <c r="E225" t="s">
        <v>21</v>
      </c>
    </row>
    <row r="226" spans="2:5" ht="12.75">
      <c r="B226" t="s">
        <v>160</v>
      </c>
      <c r="D226" s="22">
        <f>0.833/D215</f>
        <v>27.766666666666666</v>
      </c>
      <c r="E226" t="s">
        <v>21</v>
      </c>
    </row>
    <row r="227" spans="2:4" ht="12.75">
      <c r="B227" t="s">
        <v>157</v>
      </c>
      <c r="D227" s="22"/>
    </row>
    <row r="228" spans="4:5" ht="12.75">
      <c r="D228" s="55">
        <f>3*D223*D223*D226</f>
        <v>5886.916157303686</v>
      </c>
      <c r="E228" t="s">
        <v>161</v>
      </c>
    </row>
    <row r="229" spans="2:5" ht="12.75">
      <c r="B229" t="s">
        <v>163</v>
      </c>
      <c r="D229" s="22">
        <v>50</v>
      </c>
      <c r="E229" t="s">
        <v>41</v>
      </c>
    </row>
    <row r="230" spans="2:4" ht="12.75">
      <c r="B230" t="s">
        <v>164</v>
      </c>
      <c r="D230">
        <v>6</v>
      </c>
    </row>
    <row r="231" spans="2:5" ht="12.75">
      <c r="B231" t="s">
        <v>165</v>
      </c>
      <c r="D231" s="22">
        <f>D229/D230</f>
        <v>8.333333333333334</v>
      </c>
      <c r="E231" t="s">
        <v>166</v>
      </c>
    </row>
    <row r="232" spans="2:5" ht="12.75">
      <c r="B232" s="18" t="s">
        <v>162</v>
      </c>
      <c r="D232" s="22">
        <f>2*3.1416*D231</f>
        <v>52.36</v>
      </c>
      <c r="E232" t="s">
        <v>46</v>
      </c>
    </row>
    <row r="233" spans="2:4" ht="12.75">
      <c r="B233" t="s">
        <v>167</v>
      </c>
      <c r="D233" s="22"/>
    </row>
    <row r="234" spans="4:6" ht="12.75">
      <c r="D234" s="55">
        <f>D228/D232</f>
        <v>112.43155380641112</v>
      </c>
      <c r="E234" t="s">
        <v>168</v>
      </c>
      <c r="F234" s="61" t="s">
        <v>37</v>
      </c>
    </row>
    <row r="235" spans="2:4" ht="12.75">
      <c r="B235" t="s">
        <v>169</v>
      </c>
      <c r="D235" s="22"/>
    </row>
    <row r="236" spans="4:5" ht="12.75">
      <c r="D236" s="55">
        <f>D228*(1-D215)</f>
        <v>5710.308672584575</v>
      </c>
      <c r="E236" t="s">
        <v>49</v>
      </c>
    </row>
    <row r="237" spans="2:4" ht="12.75">
      <c r="B237" t="s">
        <v>170</v>
      </c>
      <c r="D237" s="55"/>
    </row>
    <row r="238" spans="2:6" ht="12.75">
      <c r="B238" t="s">
        <v>171</v>
      </c>
      <c r="D238" s="55">
        <f>D236-230</f>
        <v>5480.308672584575</v>
      </c>
      <c r="E238" t="s">
        <v>49</v>
      </c>
      <c r="F238" s="61" t="s">
        <v>37</v>
      </c>
    </row>
    <row r="239" ht="12.75">
      <c r="D239" s="22"/>
    </row>
    <row r="240" spans="2:4" ht="12.75">
      <c r="B240" t="s">
        <v>172</v>
      </c>
      <c r="D240" s="22"/>
    </row>
    <row r="241" spans="2:4" ht="12.75">
      <c r="B241" t="s">
        <v>173</v>
      </c>
      <c r="D241" s="22"/>
    </row>
    <row r="242" spans="2:4" ht="12.75">
      <c r="B242" t="s">
        <v>174</v>
      </c>
      <c r="D242" s="22"/>
    </row>
    <row r="243" spans="4:5" ht="12.75">
      <c r="D243" s="55">
        <f>6*D223*D223*D225</f>
        <v>353.21496943822115</v>
      </c>
      <c r="E243" t="s">
        <v>49</v>
      </c>
    </row>
    <row r="244" spans="2:4" ht="12.75">
      <c r="B244" t="s">
        <v>175</v>
      </c>
      <c r="D244" s="55"/>
    </row>
    <row r="245" spans="4:5" ht="12.75">
      <c r="D245" s="55">
        <f>D243+500</f>
        <v>853.2149694382211</v>
      </c>
      <c r="E245" t="s">
        <v>49</v>
      </c>
    </row>
    <row r="246" spans="2:4" ht="12.75">
      <c r="B246" t="s">
        <v>176</v>
      </c>
      <c r="D246" s="22"/>
    </row>
    <row r="247" spans="4:6" ht="12.75">
      <c r="D247" s="22">
        <f>D238/(D238+D245)</f>
        <v>0.8652858949199845</v>
      </c>
      <c r="E247" t="s">
        <v>177</v>
      </c>
      <c r="F247" s="61" t="s">
        <v>37</v>
      </c>
    </row>
    <row r="248" spans="2:4" ht="12.75">
      <c r="B248" t="s">
        <v>178</v>
      </c>
      <c r="D248" s="22"/>
    </row>
    <row r="249" spans="2:4" ht="12.75">
      <c r="B249" t="s">
        <v>179</v>
      </c>
      <c r="D249" s="22">
        <f>D200+D219</f>
        <v>8.707304512512586</v>
      </c>
    </row>
    <row r="250" spans="2:4" ht="12.75">
      <c r="B250" t="s">
        <v>181</v>
      </c>
      <c r="D250" s="22">
        <f>D221-D202</f>
        <v>-7.77592082779952</v>
      </c>
    </row>
    <row r="251" spans="2:4" ht="12.75">
      <c r="B251" t="s">
        <v>180</v>
      </c>
      <c r="D251" s="22"/>
    </row>
    <row r="252" spans="4:6" ht="12.75">
      <c r="D252" s="22">
        <f>SQRT(D249*D249+D250*D250)</f>
        <v>11.673992315991493</v>
      </c>
      <c r="E252" t="s">
        <v>139</v>
      </c>
      <c r="F252" s="61" t="s">
        <v>37</v>
      </c>
    </row>
    <row r="253" spans="2:6" ht="12.75">
      <c r="B253" t="s">
        <v>182</v>
      </c>
      <c r="D253" s="22">
        <f>COS(ATAN(D250/D249))</f>
        <v>0.745872044183632</v>
      </c>
      <c r="E253" t="s">
        <v>39</v>
      </c>
      <c r="F253" s="61" t="s">
        <v>37</v>
      </c>
    </row>
    <row r="255" ht="12.75">
      <c r="B255" t="s">
        <v>506</v>
      </c>
    </row>
    <row r="256" ht="12.75">
      <c r="B256" t="s">
        <v>183</v>
      </c>
    </row>
    <row r="257" ht="12.75">
      <c r="B257" t="s">
        <v>209</v>
      </c>
    </row>
    <row r="258" ht="13.5" thickBot="1">
      <c r="B258" t="s">
        <v>210</v>
      </c>
    </row>
    <row r="259" spans="5:6" ht="13.5" thickBot="1">
      <c r="E259" s="29" t="s">
        <v>352</v>
      </c>
      <c r="F259" s="30"/>
    </row>
    <row r="260" spans="1:2" ht="12.75">
      <c r="A260" t="s">
        <v>184</v>
      </c>
      <c r="B260" s="21" t="s">
        <v>185</v>
      </c>
    </row>
    <row r="261" ht="12.75">
      <c r="B261" s="40" t="s">
        <v>186</v>
      </c>
    </row>
    <row r="262" ht="12.75">
      <c r="B262" s="40" t="s">
        <v>187</v>
      </c>
    </row>
    <row r="263" ht="12.75">
      <c r="B263" s="40" t="s">
        <v>188</v>
      </c>
    </row>
    <row r="264" ht="12.75">
      <c r="B264" s="40" t="s">
        <v>189</v>
      </c>
    </row>
    <row r="265" spans="2:6" ht="12.75">
      <c r="B265" s="40" t="s">
        <v>190</v>
      </c>
      <c r="F265" s="40" t="s">
        <v>202</v>
      </c>
    </row>
    <row r="267" spans="3:6" ht="12.75">
      <c r="C267" s="15" t="s">
        <v>15</v>
      </c>
      <c r="D267" s="15" t="s">
        <v>14</v>
      </c>
      <c r="E267" s="15" t="s">
        <v>16</v>
      </c>
      <c r="F267" s="15" t="s">
        <v>22</v>
      </c>
    </row>
    <row r="268" spans="3:7" ht="12.75">
      <c r="C268" t="s">
        <v>116</v>
      </c>
      <c r="G268" t="s">
        <v>117</v>
      </c>
    </row>
    <row r="270" ht="12.75">
      <c r="E270" s="3" t="s">
        <v>118</v>
      </c>
    </row>
    <row r="271" ht="12.75">
      <c r="C271" t="s">
        <v>132</v>
      </c>
    </row>
    <row r="272" spans="4:8" ht="12.75">
      <c r="D272" s="1"/>
      <c r="H272" t="s">
        <v>191</v>
      </c>
    </row>
    <row r="273" spans="4:6" ht="12.75">
      <c r="D273" s="3" t="s">
        <v>123</v>
      </c>
      <c r="F273" t="s">
        <v>124</v>
      </c>
    </row>
    <row r="274" ht="12.75">
      <c r="D274" s="3"/>
    </row>
    <row r="275" spans="2:5" ht="12.75">
      <c r="B275" t="s">
        <v>196</v>
      </c>
      <c r="D275" s="55">
        <f>220/1.73205</f>
        <v>127.01711844346295</v>
      </c>
      <c r="E275" t="s">
        <v>132</v>
      </c>
    </row>
    <row r="276" spans="2:5" ht="12.75">
      <c r="B276" t="s">
        <v>193</v>
      </c>
      <c r="D276">
        <v>0.15</v>
      </c>
      <c r="E276" t="s">
        <v>195</v>
      </c>
    </row>
    <row r="277" spans="2:5" ht="12.75">
      <c r="B277" t="s">
        <v>64</v>
      </c>
      <c r="D277">
        <v>0.2</v>
      </c>
      <c r="E277" t="s">
        <v>195</v>
      </c>
    </row>
    <row r="278" spans="2:5" ht="12.75">
      <c r="B278" t="s">
        <v>194</v>
      </c>
      <c r="D278">
        <v>0.3</v>
      </c>
      <c r="E278" t="s">
        <v>195</v>
      </c>
    </row>
    <row r="279" ht="12.75">
      <c r="B279" t="s">
        <v>192</v>
      </c>
    </row>
    <row r="280" spans="4:6" ht="12.75">
      <c r="D280" s="22">
        <f>D277/SQRT(D276*D276+(D278+D278)*(D278+D278))</f>
        <v>0.3233808333817773</v>
      </c>
      <c r="F280" s="61" t="s">
        <v>37</v>
      </c>
    </row>
    <row r="281" ht="12.75">
      <c r="B281" t="s">
        <v>197</v>
      </c>
    </row>
    <row r="282" spans="4:5" ht="12.75">
      <c r="D282" s="55">
        <f>3*D275*D275/(2*(D276+SQRT(D276*D276+(D278+D278)*(D278+D278))))</f>
        <v>31491.344423990082</v>
      </c>
      <c r="E282" t="s">
        <v>198</v>
      </c>
    </row>
    <row r="283" spans="2:4" ht="12.75">
      <c r="B283" t="s">
        <v>200</v>
      </c>
      <c r="D283">
        <v>2</v>
      </c>
    </row>
    <row r="284" spans="2:5" ht="12.75">
      <c r="B284" t="s">
        <v>163</v>
      </c>
      <c r="D284">
        <v>60</v>
      </c>
      <c r="E284" t="s">
        <v>41</v>
      </c>
    </row>
    <row r="285" spans="2:4" ht="12.75">
      <c r="B285" t="s">
        <v>201</v>
      </c>
      <c r="D285">
        <f>D284/D283</f>
        <v>30</v>
      </c>
    </row>
    <row r="286" ht="12.75">
      <c r="B286" t="s">
        <v>199</v>
      </c>
    </row>
    <row r="287" spans="4:6" ht="12.75">
      <c r="D287" s="55">
        <f>D282/(2*3.1416*D285)</f>
        <v>167.06638031571003</v>
      </c>
      <c r="E287" t="s">
        <v>168</v>
      </c>
      <c r="F287" s="61" t="s">
        <v>37</v>
      </c>
    </row>
    <row r="288" ht="12.75">
      <c r="B288" t="s">
        <v>204</v>
      </c>
    </row>
    <row r="289" spans="4:5" ht="12.75">
      <c r="D289">
        <f>SQRT((D276+D277)*(D276+D277)+(D278+D278)*(D278+D278))</f>
        <v>0.6946221994724903</v>
      </c>
      <c r="E289" t="s">
        <v>21</v>
      </c>
    </row>
    <row r="290" ht="12.75">
      <c r="B290" t="s">
        <v>203</v>
      </c>
    </row>
    <row r="291" spans="4:6" ht="12.75">
      <c r="D291">
        <f>D277/(D277+D289)</f>
        <v>0.22355805625875264</v>
      </c>
      <c r="F291" s="61" t="s">
        <v>37</v>
      </c>
    </row>
    <row r="292" spans="2:6" ht="12.75">
      <c r="B292" t="s">
        <v>205</v>
      </c>
      <c r="F292" s="61" t="s">
        <v>37</v>
      </c>
    </row>
    <row r="293" spans="4:5" ht="12.75">
      <c r="D293">
        <f>3*D275*D275/(2*(D277+D289))</f>
        <v>27050.55003194697</v>
      </c>
      <c r="E293" t="s">
        <v>49</v>
      </c>
    </row>
    <row r="294" spans="1:2" ht="12.75">
      <c r="B294" t="s">
        <v>206</v>
      </c>
    </row>
    <row r="295" spans="4:5" ht="12.75">
      <c r="D295">
        <f>3*D275*D275*D277/(D289*D289)</f>
        <v>20062.19487379983</v>
      </c>
      <c r="E295" t="s">
        <v>49</v>
      </c>
    </row>
    <row r="296" ht="12.75">
      <c r="B296" t="s">
        <v>207</v>
      </c>
    </row>
    <row r="297" spans="4:6" ht="12.75">
      <c r="D297">
        <f>D295/(2*3.1416*D285)</f>
        <v>106.4330005612842</v>
      </c>
      <c r="E297" t="s">
        <v>168</v>
      </c>
      <c r="F297" s="61" t="s">
        <v>37</v>
      </c>
    </row>
    <row r="298" ht="12.75">
      <c r="B298" t="s">
        <v>208</v>
      </c>
    </row>
    <row r="299" spans="4:6" ht="13.5" thickBot="1">
      <c r="D299">
        <f>D275/D289</f>
        <v>182.85784494063427</v>
      </c>
      <c r="E299" t="s">
        <v>139</v>
      </c>
      <c r="F299" s="61" t="s">
        <v>37</v>
      </c>
    </row>
    <row r="300" spans="5:6" ht="13.5" thickBot="1">
      <c r="E300" s="29" t="s">
        <v>352</v>
      </c>
      <c r="F300" s="30"/>
    </row>
    <row r="301" spans="1:2" ht="12.75">
      <c r="A301" s="21" t="s">
        <v>211</v>
      </c>
      <c r="B301" s="21" t="s">
        <v>212</v>
      </c>
    </row>
    <row r="302" ht="12.75">
      <c r="B302" s="40" t="s">
        <v>213</v>
      </c>
    </row>
    <row r="303" ht="12.75">
      <c r="B303" s="40" t="s">
        <v>214</v>
      </c>
    </row>
    <row r="304" ht="12.75">
      <c r="B304" s="40" t="s">
        <v>507</v>
      </c>
    </row>
    <row r="305" ht="12.75">
      <c r="B305" s="40" t="s">
        <v>215</v>
      </c>
    </row>
    <row r="306" ht="12.75">
      <c r="B306" s="40" t="s">
        <v>216</v>
      </c>
    </row>
    <row r="307" ht="12.75">
      <c r="B307" s="40" t="s">
        <v>217</v>
      </c>
    </row>
    <row r="308" ht="12.75">
      <c r="B308" s="40" t="s">
        <v>218</v>
      </c>
    </row>
    <row r="310" spans="1:5" ht="12.75">
      <c r="A310" t="s">
        <v>12</v>
      </c>
      <c r="B310" t="s">
        <v>223</v>
      </c>
      <c r="D310">
        <v>1000</v>
      </c>
      <c r="E310" t="s">
        <v>49</v>
      </c>
    </row>
    <row r="311" ht="12.75">
      <c r="B311" t="s">
        <v>220</v>
      </c>
    </row>
    <row r="312" spans="4:5" ht="12.75">
      <c r="D312">
        <v>0.5</v>
      </c>
      <c r="E312" t="s">
        <v>195</v>
      </c>
    </row>
    <row r="313" ht="12.75">
      <c r="B313" t="s">
        <v>221</v>
      </c>
    </row>
    <row r="314" spans="4:5" ht="12.75">
      <c r="D314">
        <v>10</v>
      </c>
      <c r="E314" t="s">
        <v>139</v>
      </c>
    </row>
    <row r="315" ht="12.75">
      <c r="B315" t="s">
        <v>222</v>
      </c>
    </row>
    <row r="316" spans="4:5" ht="12.75">
      <c r="D316">
        <f>3*D314*D314*D312</f>
        <v>150</v>
      </c>
      <c r="E316" t="s">
        <v>49</v>
      </c>
    </row>
    <row r="317" ht="12.75">
      <c r="B317" t="s">
        <v>219</v>
      </c>
    </row>
    <row r="318" spans="4:5" ht="12.75">
      <c r="D318">
        <f>D310-D316</f>
        <v>850</v>
      </c>
      <c r="E318" t="s">
        <v>49</v>
      </c>
    </row>
    <row r="319" spans="2:5" ht="12.75">
      <c r="B319" t="s">
        <v>224</v>
      </c>
      <c r="D319">
        <v>200</v>
      </c>
      <c r="E319" t="s">
        <v>132</v>
      </c>
    </row>
    <row r="320" spans="2:5" ht="12.75">
      <c r="B320" t="s">
        <v>225</v>
      </c>
      <c r="D320">
        <v>440</v>
      </c>
      <c r="E320" t="s">
        <v>132</v>
      </c>
    </row>
    <row r="321" ht="12.75">
      <c r="B321" t="s">
        <v>508</v>
      </c>
    </row>
    <row r="322" ht="12.75">
      <c r="B322" s="23" t="s">
        <v>226</v>
      </c>
    </row>
    <row r="323" spans="4:5" ht="12.75">
      <c r="D323">
        <f>D318*(D319/D320)*(D319/D320)</f>
        <v>175.6198347107438</v>
      </c>
      <c r="E323" t="s">
        <v>49</v>
      </c>
    </row>
    <row r="324" ht="12.75">
      <c r="B324" t="s">
        <v>228</v>
      </c>
    </row>
    <row r="325" spans="4:5" ht="12.75">
      <c r="D325">
        <v>10000</v>
      </c>
      <c r="E325" t="s">
        <v>49</v>
      </c>
    </row>
    <row r="326" spans="2:5" ht="12.75">
      <c r="B326" t="s">
        <v>229</v>
      </c>
      <c r="D326">
        <v>30000</v>
      </c>
      <c r="E326" t="s">
        <v>49</v>
      </c>
    </row>
    <row r="327" ht="12.75">
      <c r="B327" t="s">
        <v>227</v>
      </c>
    </row>
    <row r="328" spans="4:5" ht="12.75">
      <c r="D328">
        <f>D326-D323-D325</f>
        <v>19824.380165289258</v>
      </c>
      <c r="E328" t="s">
        <v>230</v>
      </c>
    </row>
    <row r="329" spans="2:4" ht="12.75">
      <c r="B329" t="s">
        <v>232</v>
      </c>
      <c r="D329">
        <v>1000</v>
      </c>
    </row>
    <row r="330" spans="2:4" ht="12.75">
      <c r="B330" t="s">
        <v>233</v>
      </c>
      <c r="D330">
        <f>1000/60</f>
        <v>16.666666666666668</v>
      </c>
    </row>
    <row r="331" ht="12.75">
      <c r="B331" t="s">
        <v>231</v>
      </c>
    </row>
    <row r="332" spans="4:6" ht="13.5" thickBot="1">
      <c r="D332">
        <f>D328/(2*3.1416*D330)</f>
        <v>189.30844313683403</v>
      </c>
      <c r="E332" t="s">
        <v>168</v>
      </c>
      <c r="F332" s="61" t="s">
        <v>37</v>
      </c>
    </row>
    <row r="333" spans="5:6" ht="13.5" thickBot="1">
      <c r="E333" s="29" t="s">
        <v>352</v>
      </c>
      <c r="F333" s="30"/>
    </row>
    <row r="334" spans="1:2" ht="12.75">
      <c r="A334" s="21" t="s">
        <v>235</v>
      </c>
      <c r="B334" s="21" t="s">
        <v>234</v>
      </c>
    </row>
    <row r="335" spans="1:2" ht="12.75">
      <c r="B335" s="40" t="s">
        <v>236</v>
      </c>
    </row>
    <row r="336" ht="12.75">
      <c r="B336" s="40" t="s">
        <v>237</v>
      </c>
    </row>
    <row r="337" ht="12.75">
      <c r="B337" s="40" t="s">
        <v>238</v>
      </c>
    </row>
    <row r="338" ht="12.75">
      <c r="B338" s="40" t="s">
        <v>509</v>
      </c>
    </row>
    <row r="339" ht="12.75">
      <c r="B339" s="40" t="s">
        <v>239</v>
      </c>
    </row>
    <row r="340" ht="12.75">
      <c r="B340" s="40" t="s">
        <v>240</v>
      </c>
    </row>
    <row r="341" ht="12.75">
      <c r="B341" s="40" t="s">
        <v>510</v>
      </c>
    </row>
    <row r="342" ht="12.75">
      <c r="B342" s="40" t="s">
        <v>241</v>
      </c>
    </row>
    <row r="343" ht="12.75">
      <c r="B343" s="40" t="s">
        <v>242</v>
      </c>
    </row>
    <row r="344" ht="12.75">
      <c r="B344" s="40" t="s">
        <v>243</v>
      </c>
    </row>
    <row r="346" spans="1:7" ht="12.75">
      <c r="A346" t="s">
        <v>12</v>
      </c>
      <c r="F346" t="s">
        <v>253</v>
      </c>
      <c r="G346" t="s">
        <v>254</v>
      </c>
    </row>
    <row r="347" spans="4:8" ht="12.75">
      <c r="D347" t="s">
        <v>244</v>
      </c>
      <c r="E347" t="s">
        <v>245</v>
      </c>
      <c r="F347" s="25">
        <f>D367/D366</f>
        <v>2.666666666666666</v>
      </c>
      <c r="G347" s="25">
        <f>D368</f>
        <v>0.8888888888888888</v>
      </c>
      <c r="H347" t="s">
        <v>195</v>
      </c>
    </row>
    <row r="348" spans="3:5" ht="12.75">
      <c r="C348" s="3" t="s">
        <v>116</v>
      </c>
      <c r="E348" s="15" t="s">
        <v>263</v>
      </c>
    </row>
    <row r="349" ht="12.75">
      <c r="F349" s="15" t="s">
        <v>117</v>
      </c>
    </row>
    <row r="351" spans="2:4" ht="12.75">
      <c r="B351" s="22">
        <f>D358</f>
        <v>230.9402153517508</v>
      </c>
      <c r="C351" s="2" t="s">
        <v>125</v>
      </c>
      <c r="D351" t="s">
        <v>126</v>
      </c>
    </row>
    <row r="352" spans="2:5" ht="12.75">
      <c r="B352" s="3" t="s">
        <v>255</v>
      </c>
      <c r="E352" t="s">
        <v>265</v>
      </c>
    </row>
    <row r="353" spans="2:4" ht="12.75">
      <c r="B353" s="22">
        <f>D364</f>
        <v>0.005</v>
      </c>
      <c r="D353" s="22">
        <f>D365</f>
        <v>-0.05</v>
      </c>
    </row>
    <row r="354" spans="2:4" ht="12.75">
      <c r="B354" s="15" t="s">
        <v>251</v>
      </c>
      <c r="D354" s="15" t="s">
        <v>251</v>
      </c>
    </row>
    <row r="356" ht="12.75">
      <c r="E356" s="15" t="s">
        <v>264</v>
      </c>
    </row>
    <row r="357" spans="2:7" ht="12.75">
      <c r="B357" t="s">
        <v>95</v>
      </c>
      <c r="G357" s="61" t="s">
        <v>113</v>
      </c>
    </row>
    <row r="358" spans="2:7" ht="12.75">
      <c r="B358" t="s">
        <v>619</v>
      </c>
      <c r="D358" s="19">
        <f>400/1.73205</f>
        <v>230.9402153517508</v>
      </c>
      <c r="E358" t="s">
        <v>34</v>
      </c>
      <c r="G358" s="15"/>
    </row>
    <row r="359" spans="2:7" ht="12.75">
      <c r="B359" t="s">
        <v>249</v>
      </c>
      <c r="D359" s="22">
        <f>1/1.5</f>
        <v>0.6666666666666666</v>
      </c>
      <c r="G359" s="26"/>
    </row>
    <row r="360" spans="2:5" ht="12.75">
      <c r="B360" t="s">
        <v>15</v>
      </c>
      <c r="D360" s="22">
        <v>0.1</v>
      </c>
      <c r="E360" t="s">
        <v>195</v>
      </c>
    </row>
    <row r="361" spans="2:5" ht="12.75">
      <c r="B361" t="s">
        <v>22</v>
      </c>
      <c r="D361" s="22">
        <v>0.3</v>
      </c>
      <c r="E361" t="s">
        <v>195</v>
      </c>
    </row>
    <row r="362" spans="2:5" ht="12.75">
      <c r="B362" t="s">
        <v>14</v>
      </c>
      <c r="D362" s="22">
        <v>0.6</v>
      </c>
      <c r="E362" t="s">
        <v>195</v>
      </c>
    </row>
    <row r="363" spans="2:5" ht="12.75">
      <c r="B363" t="s">
        <v>16</v>
      </c>
      <c r="D363" s="22">
        <v>2</v>
      </c>
      <c r="E363" t="s">
        <v>195</v>
      </c>
    </row>
    <row r="364" spans="2:5" ht="12.75">
      <c r="B364" t="s">
        <v>246</v>
      </c>
      <c r="D364" s="22">
        <v>0.005</v>
      </c>
      <c r="E364" t="s">
        <v>251</v>
      </c>
    </row>
    <row r="365" spans="2:5" ht="12.75">
      <c r="B365" t="s">
        <v>247</v>
      </c>
      <c r="D365" s="22">
        <v>-0.05</v>
      </c>
      <c r="E365" t="s">
        <v>251</v>
      </c>
    </row>
    <row r="366" spans="2:4" ht="12.75">
      <c r="B366" t="s">
        <v>248</v>
      </c>
      <c r="D366" s="22">
        <v>0.05</v>
      </c>
    </row>
    <row r="367" spans="2:5" ht="12.75">
      <c r="B367" t="s">
        <v>250</v>
      </c>
      <c r="D367" s="22">
        <f>D361*D359*D359</f>
        <v>0.1333333333333333</v>
      </c>
      <c r="E367" t="s">
        <v>195</v>
      </c>
    </row>
    <row r="368" spans="1:5" ht="12.75">
      <c r="B368" t="s">
        <v>252</v>
      </c>
      <c r="D368" s="22">
        <f>D363*D359*D359</f>
        <v>0.8888888888888888</v>
      </c>
      <c r="E368" t="s">
        <v>195</v>
      </c>
    </row>
    <row r="369" ht="12.75">
      <c r="B369" s="21" t="s">
        <v>256</v>
      </c>
    </row>
    <row r="370" spans="2:5" ht="12.75">
      <c r="B370" t="s">
        <v>259</v>
      </c>
      <c r="D370" s="22">
        <f>D360+D367/D366</f>
        <v>2.766666666666666</v>
      </c>
      <c r="E370" t="s">
        <v>195</v>
      </c>
    </row>
    <row r="371" spans="2:5" ht="12.75">
      <c r="B371" t="s">
        <v>258</v>
      </c>
      <c r="D371" s="22">
        <f>D362+D368</f>
        <v>1.488888888888889</v>
      </c>
      <c r="E371" t="s">
        <v>195</v>
      </c>
    </row>
    <row r="372" spans="2:5" ht="12.75">
      <c r="B372" t="s">
        <v>277</v>
      </c>
      <c r="D372" s="22">
        <f>SQRT(D370*D370+D371*D371)</f>
        <v>3.1418520919835218</v>
      </c>
      <c r="E372" t="s">
        <v>195</v>
      </c>
    </row>
    <row r="373" spans="2:4" ht="12.75">
      <c r="B373" t="s">
        <v>257</v>
      </c>
      <c r="D373" s="22"/>
    </row>
    <row r="374" spans="2:4" ht="12.75">
      <c r="B374" t="s">
        <v>511</v>
      </c>
      <c r="D374" s="22"/>
    </row>
    <row r="375" spans="4:5" ht="12.75">
      <c r="D375" s="22">
        <f>D358*D370/(D370*D370+D371*D371)</f>
        <v>64.72691854412666</v>
      </c>
      <c r="E375" t="s">
        <v>139</v>
      </c>
    </row>
    <row r="376" spans="2:4" ht="12.75">
      <c r="B376" t="s">
        <v>260</v>
      </c>
      <c r="C376" s="23" t="s">
        <v>261</v>
      </c>
      <c r="D376" s="22"/>
    </row>
    <row r="377" spans="4:5" ht="12.75">
      <c r="D377" s="55">
        <f>-D358*D371/(D370*D370+D371*D371)</f>
        <v>-34.83296018037339</v>
      </c>
      <c r="E377" t="s">
        <v>139</v>
      </c>
    </row>
    <row r="378" spans="2:5" ht="12.75">
      <c r="B378" t="s">
        <v>262</v>
      </c>
      <c r="D378" s="55">
        <f>SQRT(D375*D375+D377*D377)</f>
        <v>73.50448353090773</v>
      </c>
      <c r="E378" t="s">
        <v>139</v>
      </c>
    </row>
    <row r="379" spans="2:5" ht="12.75">
      <c r="B379" t="s">
        <v>266</v>
      </c>
      <c r="D379" s="55">
        <f>D358*D364</f>
        <v>1.154701076758754</v>
      </c>
      <c r="E379" t="s">
        <v>139</v>
      </c>
    </row>
    <row r="380" spans="2:5" ht="12.75">
      <c r="B380" t="s">
        <v>267</v>
      </c>
      <c r="D380" s="55">
        <f>B351*D365</f>
        <v>-11.54701076758754</v>
      </c>
      <c r="E380" t="s">
        <v>139</v>
      </c>
    </row>
    <row r="381" spans="2:5" ht="12.75">
      <c r="B381" t="s">
        <v>268</v>
      </c>
      <c r="D381" s="55">
        <f>D379+D375</f>
        <v>65.88161962088542</v>
      </c>
      <c r="E381" t="s">
        <v>139</v>
      </c>
    </row>
    <row r="382" spans="2:5" ht="12.75">
      <c r="B382" t="s">
        <v>269</v>
      </c>
      <c r="D382" s="55">
        <f>D380+D377</f>
        <v>-46.37997094796093</v>
      </c>
      <c r="E382" t="s">
        <v>139</v>
      </c>
    </row>
    <row r="383" spans="2:6" ht="12.75">
      <c r="B383" t="s">
        <v>270</v>
      </c>
      <c r="D383" s="55">
        <f>SQRT(D381*D381+D382*D382)</f>
        <v>80.5697803708359</v>
      </c>
      <c r="E383" t="s">
        <v>139</v>
      </c>
      <c r="F383" s="61" t="s">
        <v>37</v>
      </c>
    </row>
    <row r="384" spans="2:5" ht="12.75">
      <c r="B384" t="s">
        <v>272</v>
      </c>
      <c r="D384" s="55">
        <v>50</v>
      </c>
      <c r="E384" t="s">
        <v>41</v>
      </c>
    </row>
    <row r="385" spans="2:4" ht="12.75">
      <c r="B385" t="s">
        <v>200</v>
      </c>
      <c r="D385" s="55">
        <v>4</v>
      </c>
    </row>
    <row r="386" spans="2:5" ht="12.75">
      <c r="B386" t="s">
        <v>273</v>
      </c>
      <c r="D386" s="55">
        <f>D384/D385</f>
        <v>12.5</v>
      </c>
      <c r="E386" t="s">
        <v>166</v>
      </c>
    </row>
    <row r="387" spans="2:4" ht="12.75">
      <c r="B387" t="s">
        <v>271</v>
      </c>
      <c r="D387" s="55"/>
    </row>
    <row r="388" spans="4:6" ht="12.75">
      <c r="D388" s="55">
        <f>(3*D378*D378*D367/D366)/(2*3.1416*D386)</f>
        <v>550.3345148098279</v>
      </c>
      <c r="E388" t="s">
        <v>168</v>
      </c>
      <c r="F388" s="61" t="s">
        <v>37</v>
      </c>
    </row>
    <row r="389" spans="2:6" ht="12.75">
      <c r="B389" t="s">
        <v>274</v>
      </c>
      <c r="D389" s="55">
        <f>D381/D383</f>
        <v>0.8176964032625413</v>
      </c>
      <c r="E389" t="s">
        <v>39</v>
      </c>
      <c r="F389" s="61" t="s">
        <v>37</v>
      </c>
    </row>
    <row r="390" spans="2:4" ht="12.75">
      <c r="B390" s="21" t="s">
        <v>113</v>
      </c>
      <c r="D390" s="55"/>
    </row>
    <row r="391" spans="2:4" ht="12.75">
      <c r="B391" t="s">
        <v>275</v>
      </c>
      <c r="D391" s="55"/>
    </row>
    <row r="392" spans="2:4" ht="12.75">
      <c r="B392" t="s">
        <v>276</v>
      </c>
      <c r="D392" s="55"/>
    </row>
    <row r="393" spans="2:4" ht="12.75">
      <c r="B393" t="s">
        <v>278</v>
      </c>
      <c r="D393" s="55"/>
    </row>
    <row r="394" spans="4:5" ht="12.75">
      <c r="D394" s="55">
        <f>D364+F347/(F347*F347+G347*G347)</f>
        <v>0.3425000000000001</v>
      </c>
      <c r="E394" t="s">
        <v>251</v>
      </c>
    </row>
    <row r="395" spans="2:4" ht="12.75">
      <c r="B395" t="s">
        <v>279</v>
      </c>
      <c r="D395" s="55"/>
    </row>
    <row r="396" spans="4:5" ht="12.75">
      <c r="D396" s="55">
        <f>D365-D368/(F347*F347+G347*G347)</f>
        <v>-0.16250000000000003</v>
      </c>
      <c r="E396" t="s">
        <v>251</v>
      </c>
    </row>
    <row r="397" spans="2:4" ht="12.75">
      <c r="B397" t="s">
        <v>280</v>
      </c>
      <c r="D397" s="55"/>
    </row>
    <row r="398" spans="2:4" ht="12.75">
      <c r="B398" t="s">
        <v>281</v>
      </c>
      <c r="D398" s="55"/>
    </row>
    <row r="399" spans="4:5" ht="12.75">
      <c r="D399" s="55">
        <f>D394/(D394*D394+D396*D396)</f>
        <v>2.3832304079325035</v>
      </c>
      <c r="E399" t="s">
        <v>195</v>
      </c>
    </row>
    <row r="400" spans="2:4" ht="12.75">
      <c r="B400" t="s">
        <v>282</v>
      </c>
      <c r="D400" s="55"/>
    </row>
    <row r="401" spans="4:5" ht="12.75">
      <c r="D401" s="55">
        <f>-D396/(D394*D394+D396*D396)</f>
        <v>1.130729755588414</v>
      </c>
      <c r="E401" t="s">
        <v>195</v>
      </c>
    </row>
    <row r="402" spans="2:5" ht="12.75">
      <c r="B402" t="s">
        <v>283</v>
      </c>
      <c r="D402" s="55">
        <f>SQRT(D399*D399+D401*D401)</f>
        <v>2.637865985501758</v>
      </c>
      <c r="E402" t="s">
        <v>195</v>
      </c>
    </row>
    <row r="403" spans="2:4" ht="12.75">
      <c r="B403" t="s">
        <v>284</v>
      </c>
      <c r="D403" s="55"/>
    </row>
    <row r="404" spans="2:5" ht="12.75">
      <c r="B404" t="s">
        <v>285</v>
      </c>
      <c r="D404" s="55">
        <f>D360+D399</f>
        <v>2.4832304079325036</v>
      </c>
      <c r="E404" t="s">
        <v>195</v>
      </c>
    </row>
    <row r="405" spans="2:5" ht="12.75">
      <c r="B405" t="s">
        <v>286</v>
      </c>
      <c r="D405" s="55">
        <f>D362+D401</f>
        <v>1.7307297555884138</v>
      </c>
      <c r="E405" t="s">
        <v>195</v>
      </c>
    </row>
    <row r="406" spans="2:5" ht="12.75">
      <c r="B406" t="s">
        <v>287</v>
      </c>
      <c r="D406" s="55">
        <f>SQRT(D404*D404+D405*D405)</f>
        <v>3.0268562479509593</v>
      </c>
      <c r="E406" t="s">
        <v>195</v>
      </c>
    </row>
    <row r="407" spans="2:4" ht="12.75">
      <c r="B407" t="s">
        <v>288</v>
      </c>
      <c r="D407" s="55"/>
    </row>
    <row r="408" spans="4:6" ht="12.75">
      <c r="D408" s="55">
        <f>D358/D406</f>
        <v>76.29705424831013</v>
      </c>
      <c r="E408" t="s">
        <v>139</v>
      </c>
      <c r="F408" s="61" t="s">
        <v>37</v>
      </c>
    </row>
    <row r="409" spans="2:4" ht="12.75">
      <c r="B409" t="s">
        <v>289</v>
      </c>
      <c r="D409" s="55"/>
    </row>
    <row r="410" spans="4:6" ht="12.75">
      <c r="D410" s="55">
        <f>COS(ATAN(D405/D404))</f>
        <v>0.8203991879738376</v>
      </c>
      <c r="E410" t="s">
        <v>39</v>
      </c>
      <c r="F410" s="61" t="s">
        <v>37</v>
      </c>
    </row>
    <row r="411" ht="12.75">
      <c r="D411" s="55"/>
    </row>
    <row r="412" spans="2:4" ht="12.75">
      <c r="B412" t="s">
        <v>290</v>
      </c>
      <c r="D412" s="55"/>
    </row>
    <row r="413" spans="2:4" ht="12.75">
      <c r="B413" t="s">
        <v>512</v>
      </c>
      <c r="D413" s="55"/>
    </row>
    <row r="414" spans="2:5" ht="12.75">
      <c r="B414" t="s">
        <v>291</v>
      </c>
      <c r="D414" s="53">
        <f>D358*D402/D406</f>
        <v>201.2614041955997</v>
      </c>
      <c r="E414" t="s">
        <v>132</v>
      </c>
    </row>
    <row r="415" spans="2:4" ht="12.75">
      <c r="B415" t="s">
        <v>292</v>
      </c>
      <c r="D415" s="53"/>
    </row>
    <row r="416" spans="2:4" ht="12.75">
      <c r="B416" t="s">
        <v>293</v>
      </c>
      <c r="D416" s="53"/>
    </row>
    <row r="417" spans="4:5" ht="12.75">
      <c r="D417" s="53">
        <f>SQRT(D414*D414/(F347*F347+G347*G347))</f>
        <v>71.59999976345965</v>
      </c>
      <c r="E417" t="s">
        <v>139</v>
      </c>
    </row>
    <row r="418" spans="2:4" ht="12.75">
      <c r="B418" t="s">
        <v>294</v>
      </c>
      <c r="D418" s="53"/>
    </row>
    <row r="419" spans="2:4" ht="12.75">
      <c r="B419" t="s">
        <v>295</v>
      </c>
      <c r="D419" s="53"/>
    </row>
    <row r="420" spans="4:6" ht="12.75">
      <c r="D420" s="54">
        <f>D388*(D417/D378)*(D417/D378)</f>
        <v>522.1858890886091</v>
      </c>
      <c r="E420" s="27" t="s">
        <v>168</v>
      </c>
      <c r="F420" s="61" t="s">
        <v>37</v>
      </c>
    </row>
    <row r="421" spans="2:5" ht="12.75">
      <c r="B421" t="s">
        <v>296</v>
      </c>
      <c r="D421" s="54">
        <f>D414*D364</f>
        <v>1.0063070209779985</v>
      </c>
      <c r="E421" s="27" t="s">
        <v>139</v>
      </c>
    </row>
    <row r="422" spans="2:5" ht="12.75">
      <c r="B422" t="s">
        <v>297</v>
      </c>
      <c r="D422" s="55">
        <f>D414*D365</f>
        <v>-10.063070209779987</v>
      </c>
      <c r="E422" s="27" t="s">
        <v>139</v>
      </c>
    </row>
    <row r="423" spans="2:5" ht="12.75">
      <c r="B423" t="s">
        <v>298</v>
      </c>
      <c r="D423" s="54">
        <v>780</v>
      </c>
      <c r="E423" s="27" t="s">
        <v>44</v>
      </c>
    </row>
    <row r="424" spans="2:5" ht="12.75">
      <c r="B424" t="s">
        <v>299</v>
      </c>
      <c r="D424" s="54">
        <f>D423/60</f>
        <v>13</v>
      </c>
      <c r="E424" s="27" t="s">
        <v>166</v>
      </c>
    </row>
    <row r="425" spans="2:5" ht="12.75">
      <c r="B425" t="s">
        <v>300</v>
      </c>
      <c r="D425" s="55">
        <f>(D386-D424)/D386</f>
        <v>-0.04</v>
      </c>
      <c r="E425" s="28"/>
    </row>
    <row r="426" spans="2:4" ht="12.75">
      <c r="B426" t="s">
        <v>301</v>
      </c>
      <c r="D426" s="53"/>
    </row>
    <row r="427" spans="4:6" ht="12.75">
      <c r="D427" s="55">
        <f>D367/D425</f>
        <v>-3.3333333333333326</v>
      </c>
      <c r="F427" t="s">
        <v>195</v>
      </c>
    </row>
    <row r="428" spans="2:4" ht="12.75">
      <c r="B428" t="s">
        <v>302</v>
      </c>
      <c r="D428" s="53"/>
    </row>
    <row r="429" spans="2:6" ht="12.75">
      <c r="B429" s="23" t="s">
        <v>304</v>
      </c>
      <c r="D429" s="55">
        <v>-3.23</v>
      </c>
      <c r="F429" t="s">
        <v>195</v>
      </c>
    </row>
    <row r="430" ht="12.75">
      <c r="D430" s="55"/>
    </row>
    <row r="431" spans="2:6" ht="12.75">
      <c r="B431" t="s">
        <v>305</v>
      </c>
      <c r="D431" s="55">
        <v>1.48</v>
      </c>
      <c r="F431" t="s">
        <v>195</v>
      </c>
    </row>
    <row r="432" spans="2:4" ht="12.75">
      <c r="B432" t="s">
        <v>303</v>
      </c>
      <c r="D432" s="55"/>
    </row>
    <row r="433" spans="4:6" ht="12.75">
      <c r="D433" s="55">
        <f>D358*D429/(D429*D429+D431*D431)</f>
        <v>-59.09206749314007</v>
      </c>
      <c r="F433" t="s">
        <v>139</v>
      </c>
    </row>
    <row r="434" spans="2:4" ht="12.75">
      <c r="B434" t="s">
        <v>306</v>
      </c>
      <c r="D434" s="55"/>
    </row>
    <row r="435" spans="4:6" ht="12.75">
      <c r="D435" s="55">
        <f>-D358*D431/(D429*D429+D431*D431)</f>
        <v>-27.07624145196511</v>
      </c>
      <c r="F435" t="s">
        <v>139</v>
      </c>
    </row>
    <row r="436" spans="2:4" ht="12.75">
      <c r="B436" t="s">
        <v>307</v>
      </c>
      <c r="D436" s="53"/>
    </row>
    <row r="437" spans="2:4" ht="12.75">
      <c r="B437" t="s">
        <v>308</v>
      </c>
      <c r="D437" s="53"/>
    </row>
    <row r="438" spans="2:6" ht="12.75">
      <c r="B438" t="s">
        <v>309</v>
      </c>
      <c r="D438" s="55">
        <f>D433+1.15</f>
        <v>-57.94206749314007</v>
      </c>
      <c r="F438" t="s">
        <v>139</v>
      </c>
    </row>
    <row r="439" spans="2:6" ht="12.75">
      <c r="B439" t="s">
        <v>310</v>
      </c>
      <c r="D439" s="55">
        <f>D435-11.5</f>
        <v>-38.57624145196511</v>
      </c>
      <c r="F439" t="s">
        <v>139</v>
      </c>
    </row>
    <row r="440" spans="2:6" ht="12.75">
      <c r="B440" t="s">
        <v>270</v>
      </c>
      <c r="D440" s="53">
        <f>SQRT(D438*D438+D439*D439)</f>
        <v>69.60897636037978</v>
      </c>
      <c r="F440" t="s">
        <v>139</v>
      </c>
    </row>
    <row r="441" spans="2:4" ht="12.75">
      <c r="B441" t="s">
        <v>311</v>
      </c>
      <c r="D441" s="53"/>
    </row>
    <row r="442" spans="4:6" ht="12.75">
      <c r="D442" s="53">
        <v>48.168</v>
      </c>
      <c r="E442" s="19" t="s">
        <v>312</v>
      </c>
      <c r="F442" s="61" t="s">
        <v>37</v>
      </c>
    </row>
    <row r="443" spans="2:5" ht="13.5" thickBot="1">
      <c r="B443" t="s">
        <v>313</v>
      </c>
      <c r="D443" s="55">
        <f>D438/D440</f>
        <v>-0.8323936153458462</v>
      </c>
      <c r="E443" s="19" t="s">
        <v>314</v>
      </c>
    </row>
    <row r="444" spans="4:6" ht="13.5" thickBot="1">
      <c r="D444" s="53"/>
      <c r="E444" s="29" t="s">
        <v>352</v>
      </c>
      <c r="F444" s="30"/>
    </row>
    <row r="445" spans="1:4" ht="12.75">
      <c r="A445" s="21" t="s">
        <v>315</v>
      </c>
      <c r="B445" s="21" t="s">
        <v>316</v>
      </c>
      <c r="C445" s="21"/>
      <c r="D445" s="56"/>
    </row>
    <row r="446" spans="2:4" ht="12.75">
      <c r="B446" s="40" t="s">
        <v>317</v>
      </c>
      <c r="D446" s="53"/>
    </row>
    <row r="447" spans="2:4" ht="12.75">
      <c r="B447" s="40" t="s">
        <v>318</v>
      </c>
      <c r="D447" s="53"/>
    </row>
    <row r="448" spans="2:4" ht="12.75">
      <c r="B448" s="40" t="s">
        <v>319</v>
      </c>
      <c r="D448" s="53"/>
    </row>
    <row r="449" spans="2:4" ht="12.75">
      <c r="B449" s="40" t="s">
        <v>320</v>
      </c>
      <c r="D449" s="53"/>
    </row>
    <row r="450" spans="2:4" ht="12.75">
      <c r="B450" s="40" t="s">
        <v>322</v>
      </c>
      <c r="D450" s="53"/>
    </row>
    <row r="451" spans="2:4" ht="12.75">
      <c r="B451" s="40" t="s">
        <v>321</v>
      </c>
      <c r="D451" s="53"/>
    </row>
    <row r="452" spans="2:4" ht="12.75">
      <c r="B452" s="40" t="s">
        <v>323</v>
      </c>
      <c r="D452" s="53"/>
    </row>
    <row r="453" spans="2:4" ht="12.75">
      <c r="B453" s="40" t="s">
        <v>324</v>
      </c>
      <c r="D453" s="53"/>
    </row>
    <row r="454" spans="2:4" ht="12.75">
      <c r="B454" s="40" t="s">
        <v>513</v>
      </c>
      <c r="D454" s="53"/>
    </row>
    <row r="455" spans="2:4" ht="12.75">
      <c r="B455" s="40" t="s">
        <v>325</v>
      </c>
      <c r="D455" s="53"/>
    </row>
    <row r="456" spans="2:4" ht="12.75">
      <c r="B456" s="40" t="s">
        <v>326</v>
      </c>
      <c r="D456" s="55"/>
    </row>
    <row r="457" spans="2:4" ht="12.75">
      <c r="B457" s="40" t="s">
        <v>327</v>
      </c>
      <c r="D457" s="55"/>
    </row>
    <row r="458" spans="2:4" ht="12.75">
      <c r="B458" s="40" t="s">
        <v>329</v>
      </c>
      <c r="D458" s="55"/>
    </row>
    <row r="459" spans="2:4" ht="12.75">
      <c r="B459" s="40" t="s">
        <v>328</v>
      </c>
      <c r="D459" s="55"/>
    </row>
    <row r="460" ht="12.75">
      <c r="D460" s="55"/>
    </row>
    <row r="461" spans="1:4" ht="12.75">
      <c r="A461" t="s">
        <v>12</v>
      </c>
      <c r="B461" s="21" t="s">
        <v>343</v>
      </c>
      <c r="D461" s="55"/>
    </row>
    <row r="462" spans="2:4" ht="12.75">
      <c r="B462" s="21" t="s">
        <v>95</v>
      </c>
      <c r="D462" s="55"/>
    </row>
    <row r="463" spans="2:4" ht="12.75">
      <c r="B463" t="s">
        <v>330</v>
      </c>
      <c r="D463" s="55"/>
    </row>
    <row r="464" spans="4:5" ht="12.75">
      <c r="D464" s="55">
        <v>460</v>
      </c>
      <c r="E464" t="s">
        <v>132</v>
      </c>
    </row>
    <row r="465" spans="2:5" ht="12.75">
      <c r="B465" t="s">
        <v>331</v>
      </c>
      <c r="D465" s="55">
        <v>25</v>
      </c>
      <c r="E465" t="s">
        <v>139</v>
      </c>
    </row>
    <row r="466" spans="2:5" ht="12.75">
      <c r="B466" t="s">
        <v>332</v>
      </c>
      <c r="D466" s="55">
        <v>1000</v>
      </c>
      <c r="E466" t="s">
        <v>49</v>
      </c>
    </row>
    <row r="467" spans="2:5" ht="12.75">
      <c r="B467" t="s">
        <v>182</v>
      </c>
      <c r="D467" s="55">
        <v>0.85</v>
      </c>
      <c r="E467" t="s">
        <v>39</v>
      </c>
    </row>
    <row r="468" spans="2:4" ht="12.75">
      <c r="B468" t="s">
        <v>333</v>
      </c>
      <c r="D468" s="55"/>
    </row>
    <row r="469" spans="4:5" ht="12.75">
      <c r="D469" s="55">
        <f>1.73205*D464*D465*D467</f>
        <v>16930.78875</v>
      </c>
      <c r="E469" t="s">
        <v>49</v>
      </c>
    </row>
    <row r="470" spans="2:4" ht="12.75">
      <c r="B470" t="s">
        <v>334</v>
      </c>
      <c r="D470" s="55"/>
    </row>
    <row r="471" spans="4:5" ht="12.75">
      <c r="D471" s="55">
        <f>D469-D466</f>
        <v>15930.78875</v>
      </c>
      <c r="E471" t="s">
        <v>49</v>
      </c>
    </row>
    <row r="472" spans="2:4" ht="12.75">
      <c r="B472" s="21" t="s">
        <v>103</v>
      </c>
      <c r="D472" s="55"/>
    </row>
    <row r="473" spans="2:5" ht="12.75">
      <c r="B473" t="s">
        <v>335</v>
      </c>
      <c r="D473" s="55">
        <v>500</v>
      </c>
      <c r="E473" t="s">
        <v>49</v>
      </c>
    </row>
    <row r="474" spans="2:4" ht="12.75">
      <c r="B474" t="s">
        <v>336</v>
      </c>
      <c r="D474" s="55"/>
    </row>
    <row r="475" spans="4:5" ht="12.75">
      <c r="D475" s="55">
        <f>D471-D473</f>
        <v>15430.78875</v>
      </c>
      <c r="E475" t="s">
        <v>49</v>
      </c>
    </row>
    <row r="476" spans="2:4" ht="12.75">
      <c r="B476" s="4" t="s">
        <v>337</v>
      </c>
      <c r="D476" s="55"/>
    </row>
    <row r="477" spans="2:5" ht="12.75">
      <c r="B477" t="s">
        <v>338</v>
      </c>
      <c r="D477" s="55">
        <v>800</v>
      </c>
      <c r="E477" t="s">
        <v>49</v>
      </c>
    </row>
    <row r="478" spans="2:5" ht="12.75">
      <c r="B478" t="s">
        <v>339</v>
      </c>
      <c r="D478" s="55">
        <v>250</v>
      </c>
      <c r="E478" t="s">
        <v>49</v>
      </c>
    </row>
    <row r="479" spans="1:5" ht="12.75">
      <c r="B479" t="s">
        <v>340</v>
      </c>
      <c r="D479" s="55">
        <v>200</v>
      </c>
      <c r="E479" t="s">
        <v>49</v>
      </c>
    </row>
    <row r="480" spans="2:4" ht="12.75">
      <c r="B480" t="s">
        <v>514</v>
      </c>
      <c r="D480" s="55"/>
    </row>
    <row r="481" spans="4:5" ht="12.75">
      <c r="D481" s="55">
        <f>D475-D477-D478-D479</f>
        <v>14180.78875</v>
      </c>
      <c r="E481" t="s">
        <v>49</v>
      </c>
    </row>
    <row r="482" spans="2:4" ht="12.75">
      <c r="B482" s="21" t="s">
        <v>341</v>
      </c>
      <c r="D482" s="55"/>
    </row>
    <row r="483" spans="2:4" ht="12.75">
      <c r="B483" t="s">
        <v>342</v>
      </c>
      <c r="D483" s="55"/>
    </row>
    <row r="484" spans="4:5" ht="12.75">
      <c r="D484" s="55">
        <f>D481/D469</f>
        <v>0.8375740173357251</v>
      </c>
      <c r="E484" t="s">
        <v>177</v>
      </c>
    </row>
    <row r="485" spans="2:4" ht="12.75">
      <c r="B485" s="21" t="s">
        <v>344</v>
      </c>
      <c r="D485" s="55"/>
    </row>
    <row r="486" spans="2:4" ht="12.75">
      <c r="B486" s="21" t="s">
        <v>95</v>
      </c>
      <c r="D486" s="55"/>
    </row>
    <row r="487" spans="2:4" ht="12.75">
      <c r="B487" t="s">
        <v>345</v>
      </c>
      <c r="D487" s="55"/>
    </row>
    <row r="488" spans="4:6" ht="12.75">
      <c r="D488" s="55">
        <f>D473/D471</f>
        <v>0.031385765503920825</v>
      </c>
      <c r="F488" s="61" t="s">
        <v>37</v>
      </c>
    </row>
    <row r="489" spans="2:4" ht="12.75">
      <c r="B489" t="s">
        <v>163</v>
      </c>
      <c r="D489" s="55">
        <v>50</v>
      </c>
    </row>
    <row r="490" spans="2:4" ht="12.75">
      <c r="B490" t="s">
        <v>346</v>
      </c>
      <c r="D490" s="55">
        <v>2</v>
      </c>
    </row>
    <row r="491" spans="2:5" ht="12.75">
      <c r="B491" t="s">
        <v>347</v>
      </c>
      <c r="D491" s="55">
        <f>D489/D490</f>
        <v>25</v>
      </c>
      <c r="E491" t="s">
        <v>166</v>
      </c>
    </row>
    <row r="492" spans="2:5" ht="12.75">
      <c r="B492" t="s">
        <v>348</v>
      </c>
      <c r="D492" s="55">
        <f>D491*(1-D488)</f>
        <v>24.21535586240198</v>
      </c>
      <c r="E492" t="s">
        <v>166</v>
      </c>
    </row>
    <row r="493" spans="2:6" ht="12.75">
      <c r="B493" t="s">
        <v>349</v>
      </c>
      <c r="D493" s="55">
        <f>D492*60</f>
        <v>1452.921351744119</v>
      </c>
      <c r="E493" t="s">
        <v>515</v>
      </c>
      <c r="F493" s="61" t="s">
        <v>37</v>
      </c>
    </row>
    <row r="494" ht="12.75">
      <c r="D494" s="55"/>
    </row>
    <row r="495" spans="2:4" ht="12.75">
      <c r="B495" t="s">
        <v>350</v>
      </c>
      <c r="D495" s="55"/>
    </row>
    <row r="496" spans="4:6" ht="12.75">
      <c r="D496" s="55">
        <f>D475/(2*3.14*D492)</f>
        <v>101.46999203821653</v>
      </c>
      <c r="E496" t="s">
        <v>168</v>
      </c>
      <c r="F496" s="61" t="s">
        <v>37</v>
      </c>
    </row>
    <row r="497" spans="2:4" ht="12.75">
      <c r="B497" t="s">
        <v>341</v>
      </c>
      <c r="D497" s="55"/>
    </row>
    <row r="498" spans="2:4" ht="12.75">
      <c r="B498" t="s">
        <v>351</v>
      </c>
      <c r="D498" s="55"/>
    </row>
    <row r="499" spans="4:6" ht="13.5" thickBot="1">
      <c r="D499" s="55">
        <f>D481/(2*3.1416*D492)</f>
        <v>93.20273307679925</v>
      </c>
      <c r="E499" t="s">
        <v>168</v>
      </c>
      <c r="F499" s="61" t="s">
        <v>37</v>
      </c>
    </row>
    <row r="500" spans="1:6" ht="13.5" thickBot="1">
      <c r="A500" s="21" t="s">
        <v>353</v>
      </c>
      <c r="D500" s="55"/>
      <c r="E500" s="29" t="s">
        <v>352</v>
      </c>
      <c r="F500" s="30"/>
    </row>
    <row r="501" spans="1:4" ht="12.75">
      <c r="A501" s="21" t="s">
        <v>354</v>
      </c>
      <c r="C501" s="21"/>
      <c r="D501" s="55"/>
    </row>
    <row r="502" spans="2:4" ht="12.75">
      <c r="B502" s="40" t="s">
        <v>613</v>
      </c>
      <c r="D502" s="55"/>
    </row>
    <row r="503" spans="2:4" ht="12.75">
      <c r="B503" s="40" t="s">
        <v>614</v>
      </c>
      <c r="D503" s="55"/>
    </row>
    <row r="504" spans="2:4" ht="12.75">
      <c r="B504" s="40" t="s">
        <v>615</v>
      </c>
      <c r="D504" s="55"/>
    </row>
    <row r="505" spans="2:4" ht="12.75">
      <c r="B505" s="40" t="s">
        <v>357</v>
      </c>
      <c r="D505" s="55"/>
    </row>
    <row r="506" spans="2:4" ht="12.75">
      <c r="B506" s="40" t="s">
        <v>358</v>
      </c>
      <c r="D506" s="55"/>
    </row>
    <row r="507" spans="2:4" ht="12.75">
      <c r="B507" s="40" t="s">
        <v>359</v>
      </c>
      <c r="D507" s="55"/>
    </row>
    <row r="508" ht="12.75">
      <c r="D508" s="55"/>
    </row>
    <row r="509" spans="1:5" ht="12.75">
      <c r="A509" t="s">
        <v>12</v>
      </c>
      <c r="B509" t="s">
        <v>360</v>
      </c>
      <c r="C509" t="s">
        <v>361</v>
      </c>
      <c r="D509" s="55">
        <v>50</v>
      </c>
      <c r="E509" t="s">
        <v>41</v>
      </c>
    </row>
    <row r="510" spans="2:4" ht="12.75">
      <c r="B510" t="s">
        <v>362</v>
      </c>
      <c r="C510" t="s">
        <v>363</v>
      </c>
      <c r="D510" s="55">
        <v>2</v>
      </c>
    </row>
    <row r="511" spans="2:4" ht="12.75">
      <c r="B511" t="s">
        <v>364</v>
      </c>
      <c r="C511" t="s">
        <v>365</v>
      </c>
      <c r="D511" s="55">
        <f>509:509/510:510</f>
        <v>25</v>
      </c>
    </row>
    <row r="512" spans="2:5" ht="12.75">
      <c r="B512" t="s">
        <v>370</v>
      </c>
      <c r="C512" t="s">
        <v>369</v>
      </c>
      <c r="D512" s="55">
        <v>1440</v>
      </c>
      <c r="E512" t="s">
        <v>44</v>
      </c>
    </row>
    <row r="513" spans="2:5" ht="12.75">
      <c r="B513" t="s">
        <v>368</v>
      </c>
      <c r="C513" t="s">
        <v>369</v>
      </c>
      <c r="D513" s="55">
        <f>1440/60</f>
        <v>24</v>
      </c>
      <c r="E513" t="s">
        <v>166</v>
      </c>
    </row>
    <row r="514" spans="2:4" ht="12.75">
      <c r="B514" t="s">
        <v>366</v>
      </c>
      <c r="C514" t="s">
        <v>367</v>
      </c>
      <c r="D514" s="57" t="s">
        <v>371</v>
      </c>
    </row>
    <row r="515" ht="12.75">
      <c r="D515" s="55">
        <f>(D511-D513)/511:511</f>
        <v>0.04</v>
      </c>
    </row>
    <row r="516" spans="2:4" ht="12.75">
      <c r="B516" t="s">
        <v>372</v>
      </c>
      <c r="D516" s="55"/>
    </row>
    <row r="517" spans="2:4" ht="12.75">
      <c r="B517" t="s">
        <v>373</v>
      </c>
      <c r="C517" t="s">
        <v>374</v>
      </c>
      <c r="D517" s="55"/>
    </row>
    <row r="518" spans="2:4" ht="12.75">
      <c r="B518" t="s">
        <v>375</v>
      </c>
      <c r="C518" t="s">
        <v>376</v>
      </c>
      <c r="D518" s="55"/>
    </row>
    <row r="519" ht="12.75">
      <c r="D519" s="55"/>
    </row>
    <row r="520" spans="2:4" ht="12.75">
      <c r="B520" t="s">
        <v>377</v>
      </c>
      <c r="D520" s="55"/>
    </row>
    <row r="521" ht="12.75">
      <c r="D521" s="55"/>
    </row>
    <row r="522" spans="2:4" ht="12.75">
      <c r="B522" s="21" t="s">
        <v>378</v>
      </c>
      <c r="D522" s="55"/>
    </row>
    <row r="523" spans="2:4" ht="12.75">
      <c r="B523" t="s">
        <v>379</v>
      </c>
      <c r="C523" s="23" t="s">
        <v>380</v>
      </c>
      <c r="D523" s="57" t="s">
        <v>381</v>
      </c>
    </row>
    <row r="524" spans="2:4" ht="12.75">
      <c r="B524" t="s">
        <v>383</v>
      </c>
      <c r="D524" s="55">
        <v>3</v>
      </c>
    </row>
    <row r="525" spans="2:4" ht="12.75">
      <c r="B525" t="s">
        <v>382</v>
      </c>
      <c r="C525" s="23" t="s">
        <v>384</v>
      </c>
      <c r="D525" s="55"/>
    </row>
    <row r="526" ht="12.75">
      <c r="D526" s="55">
        <f>D524*D524*D515</f>
        <v>0.36</v>
      </c>
    </row>
    <row r="527" spans="4:5" ht="12.75">
      <c r="D527" s="55">
        <v>0.36</v>
      </c>
      <c r="E527" s="61" t="s">
        <v>37</v>
      </c>
    </row>
    <row r="528" spans="2:4" ht="12.75">
      <c r="B528" s="21" t="s">
        <v>103</v>
      </c>
      <c r="D528" s="55"/>
    </row>
    <row r="529" spans="2:4" ht="12.75">
      <c r="B529" t="s">
        <v>385</v>
      </c>
      <c r="D529" s="55"/>
    </row>
    <row r="530" spans="2:4" ht="12.75">
      <c r="B530" t="s">
        <v>386</v>
      </c>
      <c r="D530" s="55"/>
    </row>
    <row r="531" spans="2:4" ht="12.75">
      <c r="B531" t="s">
        <v>387</v>
      </c>
      <c r="D531" s="55">
        <f>5/1.73</f>
        <v>2.8901734104046244</v>
      </c>
    </row>
    <row r="532" spans="2:4" ht="12.75">
      <c r="B532" t="s">
        <v>382</v>
      </c>
      <c r="C532" s="23" t="s">
        <v>384</v>
      </c>
      <c r="D532" s="55"/>
    </row>
    <row r="533" ht="12.75">
      <c r="D533" s="55">
        <f>D531*D531*D515</f>
        <v>0.3341240936883959</v>
      </c>
    </row>
    <row r="534" spans="4:5" ht="12.75">
      <c r="D534" s="55">
        <v>0.334</v>
      </c>
      <c r="E534" s="61" t="s">
        <v>37</v>
      </c>
    </row>
    <row r="535" spans="1:4" ht="12.75">
      <c r="B535" s="21" t="s">
        <v>388</v>
      </c>
      <c r="D535" s="55"/>
    </row>
    <row r="536" spans="2:4" ht="12.75">
      <c r="B536" t="s">
        <v>389</v>
      </c>
      <c r="C536" s="23" t="s">
        <v>390</v>
      </c>
      <c r="D536" s="55">
        <v>2</v>
      </c>
    </row>
    <row r="537" spans="2:4" ht="12.75">
      <c r="B537" t="s">
        <v>382</v>
      </c>
      <c r="C537" s="23" t="s">
        <v>384</v>
      </c>
      <c r="D537" s="55"/>
    </row>
    <row r="538" ht="12.75">
      <c r="D538" s="55">
        <f>D536*D536*D515</f>
        <v>0.16</v>
      </c>
    </row>
    <row r="539" spans="4:5" ht="13.5" thickBot="1">
      <c r="D539" s="55">
        <v>0.16</v>
      </c>
      <c r="E539" s="61" t="s">
        <v>37</v>
      </c>
    </row>
    <row r="540" spans="4:6" ht="13.5" thickBot="1">
      <c r="D540" s="55"/>
      <c r="E540" s="29" t="s">
        <v>352</v>
      </c>
      <c r="F540" s="30"/>
    </row>
    <row r="541" spans="1:4" ht="12.75">
      <c r="A541" s="21" t="s">
        <v>391</v>
      </c>
      <c r="B541" s="21" t="s">
        <v>392</v>
      </c>
      <c r="C541" s="21"/>
      <c r="D541" s="58"/>
    </row>
    <row r="542" spans="2:4" ht="12.75">
      <c r="B542" s="40" t="s">
        <v>516</v>
      </c>
      <c r="D542" s="55"/>
    </row>
    <row r="543" spans="2:4" ht="12.75">
      <c r="B543" s="40" t="s">
        <v>628</v>
      </c>
      <c r="D543" s="55"/>
    </row>
    <row r="544" spans="2:4" ht="12.75">
      <c r="B544" s="40" t="s">
        <v>393</v>
      </c>
      <c r="D544" s="55"/>
    </row>
    <row r="545" spans="2:4" ht="12.75">
      <c r="B545" s="40" t="s">
        <v>394</v>
      </c>
      <c r="D545" s="55"/>
    </row>
    <row r="546" spans="2:4" ht="12.75">
      <c r="B546" s="40" t="s">
        <v>629</v>
      </c>
      <c r="D546" s="55"/>
    </row>
    <row r="547" spans="2:4" ht="12.75">
      <c r="B547" s="40" t="s">
        <v>616</v>
      </c>
      <c r="D547" s="55"/>
    </row>
    <row r="548" ht="12.75">
      <c r="D548" s="59" t="s">
        <v>126</v>
      </c>
    </row>
    <row r="549" spans="1:4" ht="12.75">
      <c r="A549" t="s">
        <v>12</v>
      </c>
      <c r="D549" s="55"/>
    </row>
    <row r="550" ht="12.75">
      <c r="D550" s="55"/>
    </row>
    <row r="551" ht="12.75">
      <c r="D551" s="55"/>
    </row>
    <row r="552" ht="12.75">
      <c r="D552" s="62" t="s">
        <v>397</v>
      </c>
    </row>
    <row r="553" ht="12.75">
      <c r="F553" s="3" t="s">
        <v>132</v>
      </c>
    </row>
    <row r="554" ht="12.75">
      <c r="D554" s="63" t="s">
        <v>396</v>
      </c>
    </row>
    <row r="555" ht="12.75">
      <c r="D555" s="55"/>
    </row>
    <row r="556" ht="12.75">
      <c r="D556" s="55"/>
    </row>
    <row r="557" spans="4:5" ht="12.75">
      <c r="D557" s="55"/>
      <c r="E557" s="2" t="s">
        <v>395</v>
      </c>
    </row>
    <row r="558" spans="2:5" ht="12.75">
      <c r="B558" t="s">
        <v>123</v>
      </c>
      <c r="D558" s="55">
        <v>4.5</v>
      </c>
      <c r="E558" t="s">
        <v>21</v>
      </c>
    </row>
    <row r="559" spans="2:5" ht="12.75">
      <c r="B559" t="s">
        <v>124</v>
      </c>
      <c r="D559" s="55">
        <v>3.7</v>
      </c>
      <c r="E559" t="s">
        <v>21</v>
      </c>
    </row>
    <row r="560" spans="2:5" ht="12.75">
      <c r="B560" t="s">
        <v>398</v>
      </c>
      <c r="D560" s="55">
        <v>9.5</v>
      </c>
      <c r="E560" t="s">
        <v>21</v>
      </c>
    </row>
    <row r="561" spans="2:5" ht="12.75">
      <c r="B561" t="s">
        <v>399</v>
      </c>
      <c r="D561" s="55">
        <v>3.5</v>
      </c>
      <c r="E561" t="s">
        <v>21</v>
      </c>
    </row>
    <row r="562" spans="2:4" ht="12.75">
      <c r="B562" s="31" t="s">
        <v>397</v>
      </c>
      <c r="C562" s="23" t="s">
        <v>400</v>
      </c>
      <c r="D562" s="55"/>
    </row>
    <row r="563" spans="4:7" ht="12.75">
      <c r="D563" s="55">
        <f>ATAN(D559/D558)</f>
        <v>0.6881449651458826</v>
      </c>
      <c r="E563" t="s">
        <v>406</v>
      </c>
      <c r="F563">
        <f>(180/3.1416)*D563</f>
        <v>39.42770999689931</v>
      </c>
      <c r="G563" t="s">
        <v>32</v>
      </c>
    </row>
    <row r="564" spans="2:4" ht="12.75">
      <c r="B564" s="31" t="s">
        <v>396</v>
      </c>
      <c r="C564" s="23" t="s">
        <v>402</v>
      </c>
      <c r="D564" s="55"/>
    </row>
    <row r="565" spans="4:7" ht="12.75">
      <c r="D565" s="55">
        <f>D563-(3.1416/2)</f>
        <v>-0.8826550348541173</v>
      </c>
      <c r="E565" t="s">
        <v>401</v>
      </c>
      <c r="F565">
        <f>(180/3.1416)*D565</f>
        <v>-50.57229000310069</v>
      </c>
      <c r="G565" t="s">
        <v>32</v>
      </c>
    </row>
    <row r="566" spans="2:4" ht="12.75">
      <c r="B566" t="s">
        <v>403</v>
      </c>
      <c r="C566" t="s">
        <v>404</v>
      </c>
      <c r="D566" s="55"/>
    </row>
    <row r="567" ht="12.75">
      <c r="D567" s="55"/>
    </row>
    <row r="568" spans="2:5" ht="12.75">
      <c r="B568" s="31" t="s">
        <v>396</v>
      </c>
      <c r="C568" s="23" t="s">
        <v>405</v>
      </c>
      <c r="D568" s="55"/>
      <c r="E568" t="s">
        <v>71</v>
      </c>
    </row>
    <row r="569" ht="12.75">
      <c r="D569" s="55"/>
    </row>
    <row r="570" spans="2:5" ht="12.75">
      <c r="B570" t="s">
        <v>407</v>
      </c>
      <c r="D570" s="55">
        <f>D561-D560*TAN(D565)</f>
        <v>15.05414056660427</v>
      </c>
      <c r="E570" t="s">
        <v>21</v>
      </c>
    </row>
    <row r="571" spans="2:5" ht="12.75">
      <c r="B571" t="s">
        <v>360</v>
      </c>
      <c r="D571" s="55">
        <v>60</v>
      </c>
      <c r="E571" t="s">
        <v>41</v>
      </c>
    </row>
    <row r="572" spans="2:4" ht="12.75">
      <c r="B572" t="s">
        <v>408</v>
      </c>
      <c r="D572" s="55"/>
    </row>
    <row r="573" spans="4:5" ht="12.75">
      <c r="D573" s="55">
        <f>1/(2*3.1416*D570*D571)</f>
        <v>0.00017620243216489925</v>
      </c>
      <c r="E573" t="s">
        <v>409</v>
      </c>
    </row>
    <row r="574" spans="4:6" ht="12.75">
      <c r="D574" s="55">
        <v>176</v>
      </c>
      <c r="E574" t="s">
        <v>410</v>
      </c>
      <c r="F574" s="61" t="s">
        <v>37</v>
      </c>
    </row>
    <row r="575" spans="1:4" ht="13.5" thickBot="1">
      <c r="D575" s="55"/>
    </row>
    <row r="576" spans="4:6" ht="13.5" thickBot="1">
      <c r="D576" s="55"/>
      <c r="E576" s="29" t="s">
        <v>352</v>
      </c>
      <c r="F576" s="30"/>
    </row>
    <row r="577" ht="12.75">
      <c r="D577" s="55"/>
    </row>
    <row r="578" spans="1:4" ht="12.75">
      <c r="A578" s="32" t="s">
        <v>414</v>
      </c>
      <c r="B578" s="21" t="s">
        <v>413</v>
      </c>
      <c r="C578" s="4"/>
      <c r="D578" s="55"/>
    </row>
    <row r="579" spans="2:4" ht="12.75">
      <c r="B579" s="40" t="s">
        <v>517</v>
      </c>
      <c r="D579" s="55"/>
    </row>
    <row r="580" spans="2:4" ht="12.75">
      <c r="B580" s="40" t="s">
        <v>518</v>
      </c>
      <c r="D580" s="55"/>
    </row>
    <row r="581" spans="2:4" ht="12.75">
      <c r="B581" s="40" t="s">
        <v>630</v>
      </c>
      <c r="D581" s="55"/>
    </row>
    <row r="582" spans="2:4" ht="12.75">
      <c r="B582" s="40"/>
      <c r="D582" s="55"/>
    </row>
    <row r="583" spans="1:4" ht="12.75">
      <c r="A583" t="s">
        <v>12</v>
      </c>
      <c r="D583" s="55"/>
    </row>
    <row r="584" spans="2:4" ht="12.75">
      <c r="B584" t="s">
        <v>360</v>
      </c>
      <c r="C584" t="s">
        <v>417</v>
      </c>
      <c r="D584" s="55"/>
    </row>
    <row r="585" spans="2:5" ht="12.75">
      <c r="B585" t="s">
        <v>360</v>
      </c>
      <c r="D585" s="55">
        <v>50</v>
      </c>
      <c r="E585" t="s">
        <v>41</v>
      </c>
    </row>
    <row r="586" spans="2:4" ht="12.75">
      <c r="B586" t="s">
        <v>415</v>
      </c>
      <c r="C586" t="s">
        <v>418</v>
      </c>
      <c r="D586" s="55"/>
    </row>
    <row r="587" spans="2:4" ht="12.75">
      <c r="B587" t="s">
        <v>415</v>
      </c>
      <c r="D587" s="55">
        <v>4</v>
      </c>
    </row>
    <row r="588" spans="2:4" ht="12.75">
      <c r="B588" s="2" t="s">
        <v>416</v>
      </c>
      <c r="C588" s="2" t="s">
        <v>419</v>
      </c>
      <c r="D588" s="55"/>
    </row>
    <row r="589" spans="2:5" ht="12.75">
      <c r="B589" t="s">
        <v>416</v>
      </c>
      <c r="D589" s="55">
        <f>120*D585/D587</f>
        <v>1500</v>
      </c>
      <c r="E589" t="s">
        <v>44</v>
      </c>
    </row>
    <row r="590" spans="2:4" ht="12.75">
      <c r="B590" t="s">
        <v>370</v>
      </c>
      <c r="C590" s="23" t="s">
        <v>420</v>
      </c>
      <c r="D590" s="55"/>
    </row>
    <row r="591" spans="2:5" ht="12.75">
      <c r="B591" t="s">
        <v>366</v>
      </c>
      <c r="C591" s="23" t="s">
        <v>421</v>
      </c>
      <c r="D591" s="55">
        <v>0.03</v>
      </c>
      <c r="E591" t="s">
        <v>177</v>
      </c>
    </row>
    <row r="592" spans="2:4" ht="12.75">
      <c r="B592" t="s">
        <v>370</v>
      </c>
      <c r="D592" s="57" t="s">
        <v>422</v>
      </c>
    </row>
    <row r="593" spans="2:5" ht="12.75">
      <c r="B593" t="s">
        <v>370</v>
      </c>
      <c r="D593" s="57">
        <f>D589*(1-D591)</f>
        <v>1455</v>
      </c>
      <c r="E593" t="s">
        <v>44</v>
      </c>
    </row>
    <row r="594" spans="2:4" ht="12.75">
      <c r="B594" t="s">
        <v>423</v>
      </c>
      <c r="C594" t="s">
        <v>424</v>
      </c>
      <c r="D594" s="55"/>
    </row>
    <row r="595" ht="12.75">
      <c r="D595" s="57" t="s">
        <v>425</v>
      </c>
    </row>
    <row r="596" spans="2:5" ht="12.75">
      <c r="B596" t="s">
        <v>423</v>
      </c>
      <c r="D596" s="57">
        <f>D593-0.1*D593</f>
        <v>1309.5</v>
      </c>
      <c r="E596" t="s">
        <v>44</v>
      </c>
    </row>
    <row r="597" spans="2:4" ht="12.75">
      <c r="B597" t="s">
        <v>426</v>
      </c>
      <c r="C597" t="s">
        <v>427</v>
      </c>
      <c r="D597" s="57" t="s">
        <v>428</v>
      </c>
    </row>
    <row r="598" spans="2:4" ht="12.75">
      <c r="B598" t="s">
        <v>426</v>
      </c>
      <c r="D598" s="57">
        <f>(D589-D596)/D589</f>
        <v>0.127</v>
      </c>
    </row>
    <row r="599" spans="4:6" ht="12.75">
      <c r="D599" s="57" t="s">
        <v>429</v>
      </c>
      <c r="F599" s="61" t="s">
        <v>37</v>
      </c>
    </row>
    <row r="600" ht="12.75">
      <c r="D600" s="55"/>
    </row>
    <row r="601" spans="2:4" ht="12.75">
      <c r="B601" t="s">
        <v>430</v>
      </c>
      <c r="D601" s="55"/>
    </row>
    <row r="602" spans="2:4" ht="12.75">
      <c r="B602" t="s">
        <v>71</v>
      </c>
      <c r="D602" s="55"/>
    </row>
    <row r="603" spans="2:4" ht="12.75">
      <c r="B603" t="s">
        <v>431</v>
      </c>
      <c r="D603" s="57" t="s">
        <v>432</v>
      </c>
    </row>
    <row r="604" ht="12.75">
      <c r="D604" s="57" t="s">
        <v>432</v>
      </c>
    </row>
    <row r="605" spans="2:5" ht="12.75">
      <c r="B605" t="s">
        <v>433</v>
      </c>
      <c r="D605" s="55">
        <v>0.2</v>
      </c>
      <c r="E605" t="s">
        <v>195</v>
      </c>
    </row>
    <row r="606" spans="2:5" ht="12.75">
      <c r="B606" t="s">
        <v>431</v>
      </c>
      <c r="D606" s="55">
        <f>D605*D598/D591</f>
        <v>0.8466666666666668</v>
      </c>
      <c r="E606" t="s">
        <v>195</v>
      </c>
    </row>
    <row r="607" spans="2:4" ht="12.75">
      <c r="B607" t="s">
        <v>434</v>
      </c>
      <c r="D607" s="55"/>
    </row>
    <row r="608" spans="4:6" ht="12.75">
      <c r="D608" s="55">
        <f>D606-D605</f>
        <v>0.6466666666666667</v>
      </c>
      <c r="E608" t="s">
        <v>195</v>
      </c>
      <c r="F608" s="61" t="s">
        <v>37</v>
      </c>
    </row>
    <row r="609" ht="13.5" thickBot="1">
      <c r="D609" s="55"/>
    </row>
    <row r="610" spans="4:6" ht="13.5" thickBot="1">
      <c r="D610" s="55"/>
      <c r="E610" s="29" t="s">
        <v>352</v>
      </c>
      <c r="F610" s="30"/>
    </row>
    <row r="611" spans="1:4" ht="12.75">
      <c r="A611" t="s">
        <v>435</v>
      </c>
      <c r="B611" s="21" t="s">
        <v>436</v>
      </c>
      <c r="D611" s="55"/>
    </row>
    <row r="612" spans="1:4" ht="12.75">
      <c r="B612" s="40" t="s">
        <v>437</v>
      </c>
      <c r="D612" s="55"/>
    </row>
    <row r="613" spans="2:4" ht="12.75">
      <c r="B613" s="40" t="s">
        <v>438</v>
      </c>
      <c r="D613" s="55"/>
    </row>
    <row r="614" spans="2:4" ht="12.75">
      <c r="B614" s="40" t="s">
        <v>439</v>
      </c>
      <c r="D614" s="55"/>
    </row>
    <row r="615" spans="2:4" ht="12.75">
      <c r="B615" s="40" t="s">
        <v>440</v>
      </c>
      <c r="D615" s="55"/>
    </row>
    <row r="616" spans="2:4" ht="12.75">
      <c r="B616" s="40" t="s">
        <v>441</v>
      </c>
      <c r="D616" s="55"/>
    </row>
    <row r="617" spans="2:4" ht="12.75">
      <c r="B617" s="40" t="s">
        <v>442</v>
      </c>
      <c r="D617" s="55"/>
    </row>
    <row r="618" spans="2:4" ht="12.75">
      <c r="B618" s="40" t="s">
        <v>443</v>
      </c>
      <c r="D618" s="55"/>
    </row>
    <row r="619" ht="12.75">
      <c r="D619" s="55"/>
    </row>
    <row r="620" spans="1:4" ht="12.75">
      <c r="A620" t="s">
        <v>12</v>
      </c>
      <c r="D620" s="55"/>
    </row>
    <row r="621" spans="3:5" ht="12.75">
      <c r="C621" s="3" t="s">
        <v>480</v>
      </c>
      <c r="D621" s="59" t="s">
        <v>15</v>
      </c>
      <c r="E621" s="15" t="s">
        <v>14</v>
      </c>
    </row>
    <row r="622" spans="2:5" ht="12.75">
      <c r="B622" s="15" t="s">
        <v>444</v>
      </c>
      <c r="D622" s="60" t="s">
        <v>448</v>
      </c>
      <c r="E622" s="16" t="s">
        <v>449</v>
      </c>
    </row>
    <row r="623" spans="4:7" ht="12.75">
      <c r="D623" s="55"/>
      <c r="E623" t="s">
        <v>446</v>
      </c>
      <c r="G623" t="s">
        <v>450</v>
      </c>
    </row>
    <row r="624" spans="4:6" ht="12.75">
      <c r="D624" s="55"/>
      <c r="E624" s="23" t="s">
        <v>447</v>
      </c>
      <c r="F624" t="s">
        <v>455</v>
      </c>
    </row>
    <row r="625" spans="4:7" ht="12.75">
      <c r="D625" s="55"/>
      <c r="G625" t="s">
        <v>451</v>
      </c>
    </row>
    <row r="626" spans="2:4" ht="12.75">
      <c r="B626" s="15" t="s">
        <v>482</v>
      </c>
      <c r="D626" s="55"/>
    </row>
    <row r="627" spans="4:7" ht="12.75">
      <c r="D627" s="55"/>
      <c r="G627" t="s">
        <v>452</v>
      </c>
    </row>
    <row r="628" spans="4:5" ht="12.75">
      <c r="D628" s="55"/>
      <c r="E628" t="s">
        <v>446</v>
      </c>
    </row>
    <row r="629" spans="4:6" ht="12.75">
      <c r="D629" s="55"/>
      <c r="E629" s="23" t="s">
        <v>447</v>
      </c>
      <c r="F629" t="s">
        <v>454</v>
      </c>
    </row>
    <row r="630" spans="4:7" ht="12.75">
      <c r="D630" s="55"/>
      <c r="G630" t="s">
        <v>453</v>
      </c>
    </row>
    <row r="631" spans="2:4" ht="12.75">
      <c r="B631" s="15" t="s">
        <v>445</v>
      </c>
      <c r="D631" s="55"/>
    </row>
    <row r="632" ht="12.75">
      <c r="D632" s="55"/>
    </row>
    <row r="633" spans="2:4" ht="12.75">
      <c r="B633" t="s">
        <v>15</v>
      </c>
      <c r="D633" s="55">
        <v>2</v>
      </c>
    </row>
    <row r="634" spans="2:4" ht="12.75">
      <c r="B634" t="s">
        <v>462</v>
      </c>
      <c r="D634" s="55">
        <v>4</v>
      </c>
    </row>
    <row r="635" spans="2:4" ht="12.75">
      <c r="B635" t="s">
        <v>14</v>
      </c>
      <c r="D635" s="55">
        <v>2</v>
      </c>
    </row>
    <row r="636" spans="2:4" ht="12.75">
      <c r="B636" t="s">
        <v>463</v>
      </c>
      <c r="D636" s="55">
        <v>2</v>
      </c>
    </row>
    <row r="637" spans="2:4" ht="12.75">
      <c r="B637" t="s">
        <v>124</v>
      </c>
      <c r="D637" s="55">
        <v>60</v>
      </c>
    </row>
    <row r="638" spans="2:4" ht="12.75">
      <c r="B638" t="s">
        <v>456</v>
      </c>
      <c r="D638" s="55"/>
    </row>
    <row r="639" spans="2:4" ht="12.75">
      <c r="B639" t="s">
        <v>519</v>
      </c>
      <c r="D639" s="55"/>
    </row>
    <row r="640" spans="2:4" ht="12.75">
      <c r="B640" t="s">
        <v>457</v>
      </c>
      <c r="D640" s="55"/>
    </row>
    <row r="641" spans="2:4" ht="12.75">
      <c r="B641" t="s">
        <v>458</v>
      </c>
      <c r="D641" s="55"/>
    </row>
    <row r="642" spans="2:4" ht="12.75">
      <c r="B642" t="s">
        <v>78</v>
      </c>
      <c r="D642" s="55"/>
    </row>
    <row r="643" spans="2:4" ht="12.75">
      <c r="B643" t="s">
        <v>459</v>
      </c>
      <c r="D643" s="55" t="s">
        <v>460</v>
      </c>
    </row>
    <row r="644" spans="2:4" ht="12.75">
      <c r="B644" t="s">
        <v>461</v>
      </c>
      <c r="D644" s="55"/>
    </row>
    <row r="645" spans="1:4" ht="12.75">
      <c r="B645" t="s">
        <v>488</v>
      </c>
      <c r="D645" s="55">
        <f>0.5*D634/2</f>
        <v>1</v>
      </c>
    </row>
    <row r="646" ht="12.75">
      <c r="D646" s="55"/>
    </row>
    <row r="647" spans="2:4" ht="12.75">
      <c r="B647" t="s">
        <v>464</v>
      </c>
      <c r="D647" s="55">
        <f>0.5*D636</f>
        <v>1</v>
      </c>
    </row>
    <row r="648" spans="2:4" ht="12.75">
      <c r="B648" t="s">
        <v>465</v>
      </c>
      <c r="D648" s="55"/>
    </row>
    <row r="649" ht="12.75">
      <c r="D649" s="55"/>
    </row>
    <row r="650" spans="2:4" ht="12.75">
      <c r="B650" t="s">
        <v>466</v>
      </c>
      <c r="C650" s="23" t="s">
        <v>390</v>
      </c>
      <c r="D650" s="55" t="s">
        <v>467</v>
      </c>
    </row>
    <row r="651" spans="2:4" ht="12.75">
      <c r="B651" t="s">
        <v>468</v>
      </c>
      <c r="C651" s="23" t="s">
        <v>489</v>
      </c>
      <c r="D651" s="55" t="s">
        <v>470</v>
      </c>
    </row>
    <row r="652" spans="2:4" ht="12.75">
      <c r="B652" t="s">
        <v>490</v>
      </c>
      <c r="C652" s="23" t="s">
        <v>390</v>
      </c>
      <c r="D652" s="55">
        <f>36000/(1600+31*31)</f>
        <v>14.057008980866849</v>
      </c>
    </row>
    <row r="653" spans="2:4" ht="12.75">
      <c r="B653" t="s">
        <v>469</v>
      </c>
      <c r="C653" s="23" t="s">
        <v>390</v>
      </c>
      <c r="D653" s="57" t="s">
        <v>471</v>
      </c>
    </row>
    <row r="654" spans="3:4" ht="12.75">
      <c r="C654" s="23" t="s">
        <v>390</v>
      </c>
      <c r="D654" s="57">
        <f>48930/(1600+31*31)</f>
        <v>19.105818039828193</v>
      </c>
    </row>
    <row r="655" spans="2:4" ht="12.75">
      <c r="B655" t="s">
        <v>15</v>
      </c>
      <c r="C655" s="23" t="s">
        <v>390</v>
      </c>
      <c r="D655" s="55">
        <v>2</v>
      </c>
    </row>
    <row r="656" spans="2:4" ht="12.75">
      <c r="B656" t="s">
        <v>14</v>
      </c>
      <c r="C656" s="23" t="s">
        <v>390</v>
      </c>
      <c r="D656" s="55">
        <v>2</v>
      </c>
    </row>
    <row r="657" spans="2:4" ht="12.75">
      <c r="B657" t="s">
        <v>472</v>
      </c>
      <c r="D657" s="55"/>
    </row>
    <row r="658" spans="2:4" ht="12.75">
      <c r="B658" t="s">
        <v>473</v>
      </c>
      <c r="D658" s="55"/>
    </row>
    <row r="659" spans="2:4" ht="12.75">
      <c r="B659" t="s">
        <v>474</v>
      </c>
      <c r="C659" s="23" t="s">
        <v>390</v>
      </c>
      <c r="D659" s="57" t="s">
        <v>475</v>
      </c>
    </row>
    <row r="660" spans="3:4" ht="12.75">
      <c r="C660" s="23" t="s">
        <v>390</v>
      </c>
      <c r="D660" s="55">
        <f>D655+D652+D645</f>
        <v>17.057008980866847</v>
      </c>
    </row>
    <row r="661" spans="2:4" ht="12.75">
      <c r="B661" t="s">
        <v>476</v>
      </c>
      <c r="C661" s="23" t="s">
        <v>390</v>
      </c>
      <c r="D661" s="57" t="s">
        <v>477</v>
      </c>
    </row>
    <row r="662" ht="12.75">
      <c r="D662" s="57">
        <f>D656+D654+D647</f>
        <v>22.105818039828193</v>
      </c>
    </row>
    <row r="663" spans="2:4" ht="12.75">
      <c r="B663" t="s">
        <v>478</v>
      </c>
      <c r="C663" s="23" t="s">
        <v>390</v>
      </c>
      <c r="D663" s="55">
        <f>SQRT(D660*D660+D662*D662)</f>
        <v>27.921474649154295</v>
      </c>
    </row>
    <row r="664" spans="2:5" ht="12.75">
      <c r="B664" t="s">
        <v>479</v>
      </c>
      <c r="C664" s="23" t="s">
        <v>390</v>
      </c>
      <c r="D664" s="55">
        <f>(180/3.1416)*ATAN(D662/D660)</f>
        <v>52.345840194178315</v>
      </c>
      <c r="E664" t="s">
        <v>32</v>
      </c>
    </row>
    <row r="665" ht="12.75">
      <c r="D665" s="55"/>
    </row>
    <row r="666" spans="2:4" ht="12.75">
      <c r="B666" t="s">
        <v>481</v>
      </c>
      <c r="D666" s="57" t="s">
        <v>483</v>
      </c>
    </row>
    <row r="667" spans="2:6" ht="12.75">
      <c r="B667" t="s">
        <v>480</v>
      </c>
      <c r="D667" s="57">
        <f>100/663:663</f>
        <v>3.5814727286629493</v>
      </c>
      <c r="E667" t="s">
        <v>139</v>
      </c>
      <c r="F667" s="61" t="s">
        <v>37</v>
      </c>
    </row>
    <row r="668" ht="12.75">
      <c r="D668" s="55"/>
    </row>
    <row r="669" spans="2:4" ht="12.75">
      <c r="B669" t="s">
        <v>484</v>
      </c>
      <c r="D669" s="55"/>
    </row>
    <row r="670" spans="2:4" ht="12.75">
      <c r="B670" t="s">
        <v>485</v>
      </c>
      <c r="C670" s="23" t="s">
        <v>390</v>
      </c>
      <c r="D670" s="55" t="s">
        <v>486</v>
      </c>
    </row>
    <row r="671" spans="3:4" ht="12.75">
      <c r="C671" s="23" t="s">
        <v>390</v>
      </c>
      <c r="D671" s="55">
        <f>D667*D667*D652</f>
        <v>180.30850785694318</v>
      </c>
    </row>
    <row r="672" spans="2:4" ht="12.75">
      <c r="B672" t="s">
        <v>487</v>
      </c>
      <c r="C672" s="23" t="s">
        <v>390</v>
      </c>
      <c r="D672" s="55">
        <f>D667*D667*D645</f>
        <v>12.826946906156431</v>
      </c>
    </row>
    <row r="673" spans="2:4" ht="12.75">
      <c r="B673" t="s">
        <v>360</v>
      </c>
      <c r="C673" t="s">
        <v>361</v>
      </c>
      <c r="D673" s="55">
        <v>50</v>
      </c>
    </row>
    <row r="674" spans="2:4" ht="12.75">
      <c r="B674" t="s">
        <v>415</v>
      </c>
      <c r="C674" t="s">
        <v>491</v>
      </c>
      <c r="D674" s="55">
        <v>4</v>
      </c>
    </row>
    <row r="675" spans="2:4" ht="12.75">
      <c r="B675" t="s">
        <v>493</v>
      </c>
      <c r="D675" s="55"/>
    </row>
    <row r="676" spans="2:5" ht="12.75">
      <c r="B676" t="s">
        <v>492</v>
      </c>
      <c r="C676" s="23" t="s">
        <v>390</v>
      </c>
      <c r="D676" s="55">
        <f>4*3.1416*D673/D674</f>
        <v>157.07999999999998</v>
      </c>
      <c r="E676" t="s">
        <v>46</v>
      </c>
    </row>
    <row r="677" ht="12.75">
      <c r="D677" s="55"/>
    </row>
    <row r="678" spans="2:4" ht="12.75">
      <c r="B678" t="s">
        <v>520</v>
      </c>
      <c r="D678" s="55"/>
    </row>
    <row r="679" spans="4:6" ht="12.75">
      <c r="D679" s="55">
        <f>(D671-D672)/D676</f>
        <v>1.066218238800527</v>
      </c>
      <c r="E679" t="s">
        <v>168</v>
      </c>
      <c r="F679" s="61" t="s">
        <v>37</v>
      </c>
    </row>
    <row r="680" ht="13.5" thickBot="1">
      <c r="D680" s="55"/>
    </row>
    <row r="681" spans="4:6" ht="13.5" thickBot="1">
      <c r="D681" s="55"/>
      <c r="E681" s="29" t="s">
        <v>352</v>
      </c>
      <c r="F681" s="30"/>
    </row>
    <row r="682" ht="12.75">
      <c r="D682" s="55"/>
    </row>
    <row r="683" spans="1:4" ht="12.75">
      <c r="A683" s="21" t="s">
        <v>523</v>
      </c>
      <c r="B683" s="21" t="s">
        <v>522</v>
      </c>
      <c r="D683" s="55"/>
    </row>
    <row r="684" spans="2:4" ht="12.75">
      <c r="B684" s="40" t="s">
        <v>525</v>
      </c>
      <c r="D684" s="55"/>
    </row>
    <row r="685" spans="2:4" ht="12.75">
      <c r="B685" s="40" t="s">
        <v>631</v>
      </c>
      <c r="D685" s="55"/>
    </row>
    <row r="686" spans="2:4" ht="12.75">
      <c r="B686" s="40" t="s">
        <v>320</v>
      </c>
      <c r="D686" s="55"/>
    </row>
    <row r="687" spans="2:4" ht="12.75">
      <c r="B687" s="40" t="s">
        <v>526</v>
      </c>
      <c r="D687" s="55"/>
    </row>
    <row r="688" spans="2:4" ht="12.75">
      <c r="B688" s="40" t="s">
        <v>527</v>
      </c>
      <c r="D688" s="55"/>
    </row>
    <row r="689" spans="2:4" ht="12.75">
      <c r="B689" s="40" t="s">
        <v>528</v>
      </c>
      <c r="D689" s="55"/>
    </row>
    <row r="690" spans="2:4" ht="12.75">
      <c r="B690" s="40" t="s">
        <v>529</v>
      </c>
      <c r="D690" s="55"/>
    </row>
    <row r="691" spans="2:4" ht="12.75">
      <c r="B691" s="40" t="s">
        <v>530</v>
      </c>
      <c r="D691" s="55"/>
    </row>
    <row r="692" ht="12.75">
      <c r="D692" s="55"/>
    </row>
    <row r="693" spans="1:4" ht="12.75">
      <c r="A693" s="21" t="s">
        <v>12</v>
      </c>
      <c r="B693" t="s">
        <v>360</v>
      </c>
      <c r="C693" t="s">
        <v>417</v>
      </c>
      <c r="D693" s="55"/>
    </row>
    <row r="694" spans="2:5" ht="12.75">
      <c r="B694" t="s">
        <v>360</v>
      </c>
      <c r="D694" s="55">
        <v>50</v>
      </c>
      <c r="E694" t="s">
        <v>41</v>
      </c>
    </row>
    <row r="695" spans="2:4" ht="12.75">
      <c r="B695" t="s">
        <v>415</v>
      </c>
      <c r="C695" t="s">
        <v>552</v>
      </c>
      <c r="D695" s="55"/>
    </row>
    <row r="696" spans="2:4" ht="12.75">
      <c r="B696" t="s">
        <v>415</v>
      </c>
      <c r="D696" s="55">
        <v>4</v>
      </c>
    </row>
    <row r="697" spans="2:4" ht="12.75">
      <c r="B697" s="2" t="s">
        <v>416</v>
      </c>
      <c r="C697" s="2" t="s">
        <v>419</v>
      </c>
      <c r="D697" s="55"/>
    </row>
    <row r="698" spans="2:5" ht="12.75">
      <c r="B698" t="s">
        <v>416</v>
      </c>
      <c r="D698" s="55">
        <f>120*D694/D696</f>
        <v>1500</v>
      </c>
      <c r="E698" t="s">
        <v>44</v>
      </c>
    </row>
    <row r="699" spans="2:4" ht="12.75">
      <c r="B699" t="s">
        <v>370</v>
      </c>
      <c r="C699" s="23" t="s">
        <v>420</v>
      </c>
      <c r="D699" s="55"/>
    </row>
    <row r="700" spans="4:5" ht="12.75">
      <c r="D700" s="55">
        <v>1440</v>
      </c>
      <c r="E700" t="s">
        <v>44</v>
      </c>
    </row>
    <row r="701" spans="2:6" ht="12.75">
      <c r="B701" t="s">
        <v>366</v>
      </c>
      <c r="C701" s="23" t="s">
        <v>421</v>
      </c>
      <c r="D701" s="55">
        <f>(D698-D700)/D698</f>
        <v>0.04</v>
      </c>
      <c r="E701" t="s">
        <v>177</v>
      </c>
      <c r="F701" s="61" t="s">
        <v>37</v>
      </c>
    </row>
    <row r="702" spans="2:5" ht="12.75">
      <c r="B702" t="s">
        <v>531</v>
      </c>
      <c r="D702" s="55">
        <v>10817</v>
      </c>
      <c r="E702" t="s">
        <v>49</v>
      </c>
    </row>
    <row r="703" spans="2:5" ht="12.75">
      <c r="B703" t="s">
        <v>533</v>
      </c>
      <c r="D703" s="55">
        <v>1060</v>
      </c>
      <c r="E703" t="s">
        <v>49</v>
      </c>
    </row>
    <row r="704" spans="2:5" ht="12.75">
      <c r="B704" t="s">
        <v>532</v>
      </c>
      <c r="D704" s="55">
        <v>375</v>
      </c>
      <c r="E704" t="s">
        <v>49</v>
      </c>
    </row>
    <row r="705" spans="2:4" ht="12.75">
      <c r="B705" t="s">
        <v>553</v>
      </c>
      <c r="D705" s="55"/>
    </row>
    <row r="706" spans="2:4" ht="12.75">
      <c r="B706" t="s">
        <v>534</v>
      </c>
      <c r="D706" s="55"/>
    </row>
    <row r="707" spans="2:4" ht="12.75">
      <c r="B707" t="s">
        <v>71</v>
      </c>
      <c r="D707" s="55"/>
    </row>
    <row r="708" spans="2:4" ht="12.75">
      <c r="B708" t="s">
        <v>554</v>
      </c>
      <c r="D708" s="55"/>
    </row>
    <row r="709" spans="4:6" ht="12.75">
      <c r="D709" s="55">
        <f>(-D702-D704)*(D701/(D701-1))</f>
        <v>466.33333333333337</v>
      </c>
      <c r="E709" t="s">
        <v>49</v>
      </c>
      <c r="F709" s="61" t="s">
        <v>37</v>
      </c>
    </row>
    <row r="710" spans="2:4" ht="12.75">
      <c r="B710" t="s">
        <v>535</v>
      </c>
      <c r="D710" s="55"/>
    </row>
    <row r="711" spans="4:5" ht="12.75">
      <c r="D711" s="55">
        <f>D709/D701</f>
        <v>11658.333333333334</v>
      </c>
      <c r="E711" t="s">
        <v>49</v>
      </c>
    </row>
    <row r="712" spans="2:4" ht="12.75">
      <c r="B712" t="s">
        <v>536</v>
      </c>
      <c r="D712" s="55"/>
    </row>
    <row r="713" spans="4:5" ht="12.75">
      <c r="D713" s="55">
        <f>D711+D703</f>
        <v>12718.333333333334</v>
      </c>
      <c r="E713" t="s">
        <v>49</v>
      </c>
    </row>
    <row r="714" spans="2:5" ht="12.75">
      <c r="B714" t="s">
        <v>132</v>
      </c>
      <c r="D714" s="55">
        <v>400</v>
      </c>
      <c r="E714" t="s">
        <v>34</v>
      </c>
    </row>
    <row r="715" spans="2:5" ht="12.75">
      <c r="B715" t="s">
        <v>537</v>
      </c>
      <c r="D715" s="55">
        <v>0.88</v>
      </c>
      <c r="E715" t="s">
        <v>39</v>
      </c>
    </row>
    <row r="716" spans="2:4" ht="12.75">
      <c r="B716" t="s">
        <v>541</v>
      </c>
      <c r="D716" s="55"/>
    </row>
    <row r="717" spans="1:6" ht="12.75">
      <c r="D717" s="55">
        <f>D713/(1.73*D714*D715)</f>
        <v>20.885334559467505</v>
      </c>
      <c r="E717" t="s">
        <v>139</v>
      </c>
      <c r="F717" s="61" t="s">
        <v>37</v>
      </c>
    </row>
    <row r="718" spans="2:5" ht="12.75">
      <c r="B718" t="s">
        <v>538</v>
      </c>
      <c r="D718" s="55">
        <f>D702/D713</f>
        <v>0.85050452103263</v>
      </c>
      <c r="E718" t="s">
        <v>177</v>
      </c>
    </row>
    <row r="719" spans="4:6" ht="12.75">
      <c r="D719" s="57" t="s">
        <v>539</v>
      </c>
      <c r="F719" s="61" t="s">
        <v>37</v>
      </c>
    </row>
    <row r="720" spans="2:4" ht="12.75">
      <c r="B720" t="s">
        <v>540</v>
      </c>
      <c r="D720" s="55"/>
    </row>
    <row r="721" spans="4:6" ht="12.75">
      <c r="D721" s="55">
        <f>D694*D701</f>
        <v>2</v>
      </c>
      <c r="E721" t="s">
        <v>41</v>
      </c>
      <c r="F721" s="61" t="s">
        <v>37</v>
      </c>
    </row>
    <row r="722" ht="13.5" thickBot="1">
      <c r="D722" s="55"/>
    </row>
    <row r="723" spans="4:6" ht="13.5" thickBot="1">
      <c r="D723" s="55"/>
      <c r="E723" s="29" t="s">
        <v>352</v>
      </c>
      <c r="F723" s="30"/>
    </row>
    <row r="724" spans="1:4" ht="12.75">
      <c r="A724" s="21" t="s">
        <v>543</v>
      </c>
      <c r="D724" s="55"/>
    </row>
    <row r="725" spans="1:4" ht="12.75">
      <c r="A725" s="21" t="s">
        <v>545</v>
      </c>
      <c r="D725" s="55"/>
    </row>
    <row r="726" spans="2:4" ht="12.75">
      <c r="B726" s="40" t="s">
        <v>544</v>
      </c>
      <c r="D726" s="55"/>
    </row>
    <row r="727" spans="2:4" ht="12.75">
      <c r="B727" s="40" t="s">
        <v>634</v>
      </c>
      <c r="D727" s="55"/>
    </row>
    <row r="728" spans="2:4" ht="12.75">
      <c r="B728" s="40" t="s">
        <v>632</v>
      </c>
      <c r="D728" s="55"/>
    </row>
    <row r="729" spans="2:4" ht="12.75">
      <c r="B729" s="40" t="s">
        <v>547</v>
      </c>
      <c r="D729" s="55"/>
    </row>
    <row r="730" spans="2:4" ht="12.75">
      <c r="B730" s="40" t="s">
        <v>548</v>
      </c>
      <c r="D730" s="55"/>
    </row>
    <row r="731" spans="2:4" ht="12.75">
      <c r="B731" s="40" t="s">
        <v>549</v>
      </c>
      <c r="D731" s="55"/>
    </row>
    <row r="732" spans="2:4" ht="12.75">
      <c r="B732" s="40" t="s">
        <v>550</v>
      </c>
      <c r="D732" s="55"/>
    </row>
    <row r="733" spans="2:4" ht="12.75">
      <c r="B733" s="40" t="s">
        <v>633</v>
      </c>
      <c r="D733" s="55"/>
    </row>
    <row r="734" spans="2:4" ht="12.75">
      <c r="B734" s="40" t="s">
        <v>551</v>
      </c>
      <c r="D734" s="55"/>
    </row>
    <row r="735" ht="12.75">
      <c r="D735" t="s">
        <v>555</v>
      </c>
    </row>
    <row r="736" spans="1:3" ht="12.75">
      <c r="A736" s="21" t="s">
        <v>12</v>
      </c>
      <c r="C736" s="15" t="s">
        <v>556</v>
      </c>
    </row>
    <row r="737" ht="12.75">
      <c r="B737" t="s">
        <v>635</v>
      </c>
    </row>
    <row r="738" spans="6:7" ht="12.75">
      <c r="F738" s="3" t="s">
        <v>558</v>
      </c>
      <c r="G738" t="s">
        <v>621</v>
      </c>
    </row>
    <row r="742" ht="12.75">
      <c r="C742" s="15" t="s">
        <v>557</v>
      </c>
    </row>
    <row r="743" ht="12.75">
      <c r="F743" t="s">
        <v>559</v>
      </c>
    </row>
    <row r="746" spans="5:7" ht="12.75">
      <c r="E746" s="15" t="s">
        <v>560</v>
      </c>
      <c r="F746" s="15" t="s">
        <v>620</v>
      </c>
      <c r="G746" s="15" t="s">
        <v>492</v>
      </c>
    </row>
    <row r="747" ht="12.75">
      <c r="D747" s="55"/>
    </row>
    <row r="748" ht="12.75">
      <c r="D748" s="55"/>
    </row>
    <row r="749" ht="12.75">
      <c r="D749" s="55"/>
    </row>
    <row r="750" spans="2:5" ht="12.75">
      <c r="B750" t="s">
        <v>360</v>
      </c>
      <c r="C750" t="s">
        <v>361</v>
      </c>
      <c r="D750" s="55">
        <v>50</v>
      </c>
      <c r="E750" t="s">
        <v>41</v>
      </c>
    </row>
    <row r="751" spans="2:4" ht="12.75">
      <c r="B751" t="s">
        <v>362</v>
      </c>
      <c r="C751" t="s">
        <v>363</v>
      </c>
      <c r="D751" s="55">
        <v>3</v>
      </c>
    </row>
    <row r="752" spans="2:5" ht="12.75">
      <c r="B752" t="s">
        <v>366</v>
      </c>
      <c r="C752" t="s">
        <v>367</v>
      </c>
      <c r="D752" s="55">
        <v>0.25</v>
      </c>
      <c r="E752" t="s">
        <v>177</v>
      </c>
    </row>
    <row r="753" spans="2:11" ht="12.75">
      <c r="B753" t="s">
        <v>561</v>
      </c>
      <c r="C753" t="s">
        <v>562</v>
      </c>
      <c r="D753" s="55">
        <v>6</v>
      </c>
      <c r="E753" t="s">
        <v>168</v>
      </c>
      <c r="K753" s="3"/>
    </row>
    <row r="754" spans="2:4" ht="12.75">
      <c r="B754" t="s">
        <v>563</v>
      </c>
      <c r="D754" s="55"/>
    </row>
    <row r="755" spans="4:6" ht="12.75">
      <c r="D755" s="55">
        <f>2*3.1416*D750*(1-D752)*D753/D751</f>
        <v>471.23999999999995</v>
      </c>
      <c r="E755" t="s">
        <v>49</v>
      </c>
      <c r="F755" s="61" t="s">
        <v>37</v>
      </c>
    </row>
    <row r="756" ht="12.75">
      <c r="D756" s="55"/>
    </row>
    <row r="757" spans="2:4" ht="12.75">
      <c r="B757" t="s">
        <v>564</v>
      </c>
      <c r="D757" s="55"/>
    </row>
    <row r="758" spans="2:4" ht="12.75">
      <c r="B758" t="s">
        <v>568</v>
      </c>
      <c r="D758" s="55"/>
    </row>
    <row r="759" spans="1:4" ht="12.75">
      <c r="B759" t="s">
        <v>566</v>
      </c>
      <c r="D759" s="55"/>
    </row>
    <row r="760" spans="2:4" ht="12.75">
      <c r="B760" t="s">
        <v>565</v>
      </c>
      <c r="C760" s="23" t="s">
        <v>390</v>
      </c>
      <c r="D760" s="55">
        <v>3</v>
      </c>
    </row>
    <row r="761" spans="2:6" ht="12.75">
      <c r="B761" t="s">
        <v>567</v>
      </c>
      <c r="D761" s="55">
        <f>D753/(D760*D760)</f>
        <v>0.6666666666666666</v>
      </c>
      <c r="E761" t="s">
        <v>168</v>
      </c>
      <c r="F761" s="61" t="s">
        <v>37</v>
      </c>
    </row>
    <row r="762" ht="12.75">
      <c r="D762" s="55"/>
    </row>
    <row r="763" spans="2:4" ht="12.75">
      <c r="B763" t="s">
        <v>569</v>
      </c>
      <c r="D763" s="55"/>
    </row>
    <row r="764" ht="12.75">
      <c r="D764" s="55"/>
    </row>
    <row r="765" spans="2:4" ht="12.75">
      <c r="B765" t="s">
        <v>617</v>
      </c>
      <c r="D765" s="55"/>
    </row>
    <row r="766" spans="2:4" ht="12.75">
      <c r="B766" t="s">
        <v>618</v>
      </c>
      <c r="D766" s="57"/>
    </row>
    <row r="767" ht="12.75">
      <c r="D767" s="57" t="s">
        <v>570</v>
      </c>
    </row>
    <row r="768" spans="4:6" ht="12.75">
      <c r="D768" s="57">
        <f>2*(3)</f>
        <v>6</v>
      </c>
      <c r="E768" t="s">
        <v>139</v>
      </c>
      <c r="F768" s="61" t="s">
        <v>37</v>
      </c>
    </row>
    <row r="769" ht="12.75">
      <c r="D769" s="55"/>
    </row>
    <row r="770" spans="2:4" ht="12.75">
      <c r="B770" t="s">
        <v>571</v>
      </c>
      <c r="D770" s="55"/>
    </row>
    <row r="771" spans="2:4" ht="12.75">
      <c r="B771" t="s">
        <v>572</v>
      </c>
      <c r="D771" s="55"/>
    </row>
    <row r="772" spans="2:4" ht="12.75">
      <c r="B772" t="s">
        <v>573</v>
      </c>
      <c r="D772" s="55"/>
    </row>
    <row r="773" spans="2:4" ht="12.75">
      <c r="B773" t="s">
        <v>574</v>
      </c>
      <c r="D773" s="55"/>
    </row>
    <row r="774" spans="2:4" ht="12.75">
      <c r="B774" t="s">
        <v>575</v>
      </c>
      <c r="D774" s="55"/>
    </row>
    <row r="775" spans="2:4" ht="12.75">
      <c r="B775" t="s">
        <v>576</v>
      </c>
      <c r="D775" s="55"/>
    </row>
    <row r="776" ht="13.5" thickBot="1">
      <c r="D776" s="55"/>
    </row>
    <row r="777" spans="4:6" ht="13.5" thickBot="1">
      <c r="D777" s="55"/>
      <c r="E777" s="29" t="s">
        <v>352</v>
      </c>
      <c r="F777" s="30"/>
    </row>
    <row r="778" ht="12.75">
      <c r="D778" s="55"/>
    </row>
    <row r="779" spans="1:4" ht="12.75">
      <c r="A779" s="21" t="s">
        <v>577</v>
      </c>
      <c r="B779" s="21" t="s">
        <v>579</v>
      </c>
      <c r="D779" s="55"/>
    </row>
    <row r="780" spans="2:4" ht="12.75">
      <c r="B780" s="40" t="s">
        <v>580</v>
      </c>
      <c r="C780" s="40"/>
      <c r="D780" s="55"/>
    </row>
    <row r="781" spans="2:4" ht="12.75">
      <c r="B781" s="40" t="s">
        <v>585</v>
      </c>
      <c r="C781" s="40"/>
      <c r="D781" s="55"/>
    </row>
    <row r="782" spans="2:4" ht="12.75">
      <c r="B782" s="40" t="s">
        <v>584</v>
      </c>
      <c r="C782" s="40"/>
      <c r="D782" s="55"/>
    </row>
    <row r="783" spans="2:4" ht="12.75">
      <c r="B783" s="40" t="s">
        <v>583</v>
      </c>
      <c r="C783" s="40"/>
      <c r="D783" s="55"/>
    </row>
    <row r="784" spans="2:4" ht="12.75">
      <c r="B784" s="40" t="s">
        <v>582</v>
      </c>
      <c r="C784" s="40"/>
      <c r="D784" s="55"/>
    </row>
    <row r="785" spans="2:4" ht="12.75">
      <c r="B785" s="40" t="s">
        <v>581</v>
      </c>
      <c r="D785" s="55"/>
    </row>
    <row r="786" ht="12.75">
      <c r="D786" s="55"/>
    </row>
    <row r="787" spans="1:4" ht="12.75">
      <c r="A787" s="21" t="s">
        <v>12</v>
      </c>
      <c r="B787" t="s">
        <v>586</v>
      </c>
      <c r="D787" s="55"/>
    </row>
    <row r="788" spans="2:5" ht="12.75">
      <c r="B788" t="s">
        <v>415</v>
      </c>
      <c r="C788" t="s">
        <v>587</v>
      </c>
      <c r="D788" s="55">
        <f>540000/3</f>
        <v>180000</v>
      </c>
      <c r="E788" t="s">
        <v>49</v>
      </c>
    </row>
    <row r="789" spans="2:5" ht="12.75">
      <c r="B789" t="s">
        <v>132</v>
      </c>
      <c r="C789" t="s">
        <v>588</v>
      </c>
      <c r="D789" s="55">
        <f>1039/1.73205</f>
        <v>599.8672093761727</v>
      </c>
      <c r="E789" t="s">
        <v>34</v>
      </c>
    </row>
    <row r="790" spans="2:4" ht="12.75">
      <c r="B790" t="s">
        <v>589</v>
      </c>
      <c r="D790" s="57" t="s">
        <v>590</v>
      </c>
    </row>
    <row r="791" ht="12.75">
      <c r="D791" s="55">
        <f>788:788/789:789</f>
        <v>300.0664100096247</v>
      </c>
    </row>
    <row r="792" spans="2:4" ht="12.75">
      <c r="B792" s="21" t="s">
        <v>592</v>
      </c>
      <c r="D792" s="55"/>
    </row>
    <row r="793" spans="2:4" ht="12.75">
      <c r="B793" t="s">
        <v>593</v>
      </c>
      <c r="D793" s="55"/>
    </row>
    <row r="794" spans="2:4" ht="12.75">
      <c r="B794" t="s">
        <v>71</v>
      </c>
      <c r="D794" s="55"/>
    </row>
    <row r="795" spans="2:4" ht="12.75">
      <c r="B795" t="s">
        <v>594</v>
      </c>
      <c r="D795" s="55"/>
    </row>
    <row r="796" spans="2:4" ht="12.75">
      <c r="B796" t="s">
        <v>78</v>
      </c>
      <c r="D796" s="55"/>
    </row>
    <row r="797" spans="2:4" ht="12.75">
      <c r="B797" t="s">
        <v>595</v>
      </c>
      <c r="D797" s="55"/>
    </row>
    <row r="798" spans="2:4" ht="12.75">
      <c r="B798" t="s">
        <v>596</v>
      </c>
      <c r="D798" s="55"/>
    </row>
    <row r="799" spans="2:5" ht="12.75">
      <c r="B799" t="s">
        <v>591</v>
      </c>
      <c r="C799" t="s">
        <v>588</v>
      </c>
      <c r="D799" s="55">
        <f>1732/1.73</f>
        <v>1001.1560693641619</v>
      </c>
      <c r="E799" t="s">
        <v>34</v>
      </c>
    </row>
    <row r="800" spans="2:5" ht="12.75">
      <c r="B800" t="s">
        <v>598</v>
      </c>
      <c r="D800" s="55">
        <v>2</v>
      </c>
      <c r="E800" t="s">
        <v>21</v>
      </c>
    </row>
    <row r="801" ht="12.75">
      <c r="D801" s="55"/>
    </row>
    <row r="802" spans="2:4" ht="12.75">
      <c r="B802" t="s">
        <v>597</v>
      </c>
      <c r="D802" s="57" t="s">
        <v>599</v>
      </c>
    </row>
    <row r="803" ht="12.75">
      <c r="D803" s="57">
        <f>D791*D800/D799</f>
        <v>0.5994398260007514</v>
      </c>
    </row>
    <row r="804" spans="2:4" ht="12.75">
      <c r="B804" t="s">
        <v>600</v>
      </c>
      <c r="D804" s="57" t="s">
        <v>601</v>
      </c>
    </row>
    <row r="805" ht="12.75">
      <c r="D805" s="57">
        <f>SQRT(1-D803*D803)</f>
        <v>0.8004198242198833</v>
      </c>
    </row>
    <row r="806" spans="2:4" ht="12.75">
      <c r="B806" t="s">
        <v>602</v>
      </c>
      <c r="D806" s="57" t="s">
        <v>603</v>
      </c>
    </row>
    <row r="807" ht="12.75">
      <c r="D807" s="55">
        <f>(D789-D799*D805)/D800</f>
        <v>-100.73897784047955</v>
      </c>
    </row>
    <row r="808" spans="2:4" ht="12.75">
      <c r="B808" t="s">
        <v>604</v>
      </c>
      <c r="D808" s="57" t="s">
        <v>636</v>
      </c>
    </row>
    <row r="809" ht="12.75">
      <c r="D809" s="55">
        <f>D799*D803/D800</f>
        <v>300.0664100096247</v>
      </c>
    </row>
    <row r="810" spans="2:5" ht="12.75">
      <c r="B810" t="s">
        <v>480</v>
      </c>
      <c r="D810" s="55">
        <f>SQRT(D807*D807+D809*D809)</f>
        <v>316.5251839465682</v>
      </c>
      <c r="E810" t="s">
        <v>139</v>
      </c>
    </row>
    <row r="811" spans="2:6" ht="12.75">
      <c r="B811" t="s">
        <v>605</v>
      </c>
      <c r="D811" s="55">
        <f>D809/D810</f>
        <v>0.9480016922137802</v>
      </c>
      <c r="E811" t="s">
        <v>314</v>
      </c>
      <c r="F811" s="61" t="s">
        <v>37</v>
      </c>
    </row>
    <row r="812" ht="12.75">
      <c r="D812" s="55"/>
    </row>
    <row r="813" spans="1:4" ht="12.75">
      <c r="B813" t="s">
        <v>606</v>
      </c>
      <c r="D813" s="55"/>
    </row>
    <row r="814" ht="12.75">
      <c r="D814" s="55"/>
    </row>
    <row r="815" ht="12.75">
      <c r="D815" s="55"/>
    </row>
    <row r="816" spans="4:7" ht="12.75">
      <c r="D816" s="55"/>
      <c r="G816" s="3" t="s">
        <v>608</v>
      </c>
    </row>
    <row r="817" ht="12.75">
      <c r="D817" s="55"/>
    </row>
    <row r="818" spans="4:6" ht="12.75">
      <c r="D818" s="55" t="s">
        <v>609</v>
      </c>
      <c r="F818" t="s">
        <v>610</v>
      </c>
    </row>
    <row r="819" ht="12.75">
      <c r="D819" s="62" t="s">
        <v>360</v>
      </c>
    </row>
    <row r="820" ht="12.75">
      <c r="D820" s="55"/>
    </row>
    <row r="821" spans="4:5" ht="12.75">
      <c r="D821" s="55"/>
      <c r="E821" s="15" t="s">
        <v>607</v>
      </c>
    </row>
    <row r="822" ht="12.75">
      <c r="D822" s="55"/>
    </row>
    <row r="823" ht="12.75">
      <c r="D823" s="55"/>
    </row>
    <row r="824" ht="12.75">
      <c r="D824" s="55"/>
    </row>
    <row r="825" spans="2:4" ht="12.75">
      <c r="B825" t="s">
        <v>637</v>
      </c>
      <c r="D825" s="55"/>
    </row>
    <row r="826" ht="12.75">
      <c r="D826" s="55"/>
    </row>
    <row r="827" spans="2:4" ht="12.75">
      <c r="B827" t="s">
        <v>611</v>
      </c>
      <c r="D827" s="55"/>
    </row>
    <row r="828" ht="13.5" thickBot="1">
      <c r="D828" s="55"/>
    </row>
    <row r="829" spans="4:6" ht="13.5" thickBot="1">
      <c r="D829" s="55"/>
      <c r="E829" s="29" t="s">
        <v>352</v>
      </c>
      <c r="F829" s="30"/>
    </row>
    <row r="830" ht="12.75">
      <c r="D830" s="55"/>
    </row>
    <row r="831" spans="1:4" ht="12.75">
      <c r="A831" s="21" t="s">
        <v>642</v>
      </c>
      <c r="B831" s="21" t="s">
        <v>643</v>
      </c>
      <c r="D831" s="55"/>
    </row>
    <row r="832" ht="12.75">
      <c r="D832" s="55"/>
    </row>
    <row r="833" spans="2:4" ht="12.75">
      <c r="B833" t="s">
        <v>644</v>
      </c>
      <c r="D833" s="55"/>
    </row>
    <row r="834" spans="2:4" ht="12.75">
      <c r="B834" t="s">
        <v>645</v>
      </c>
      <c r="D834" s="55"/>
    </row>
    <row r="835" spans="2:4" ht="12.75">
      <c r="B835" t="s">
        <v>646</v>
      </c>
      <c r="D835" s="55"/>
    </row>
    <row r="836" spans="2:4" ht="12.75">
      <c r="B836" t="s">
        <v>647</v>
      </c>
      <c r="D836" s="55"/>
    </row>
    <row r="837" spans="2:4" ht="12.75">
      <c r="B837" t="s">
        <v>648</v>
      </c>
      <c r="D837" s="55"/>
    </row>
    <row r="838" spans="2:4" ht="12.75">
      <c r="B838" t="s">
        <v>649</v>
      </c>
      <c r="D838" s="55"/>
    </row>
    <row r="839" spans="2:4" ht="12.75">
      <c r="B839" t="s">
        <v>651</v>
      </c>
      <c r="D839" s="55"/>
    </row>
    <row r="840" spans="2:4" ht="12.75">
      <c r="B840" t="s">
        <v>652</v>
      </c>
      <c r="D840" s="55"/>
    </row>
    <row r="841" spans="2:4" ht="12.75">
      <c r="B841" t="s">
        <v>653</v>
      </c>
      <c r="D841" s="55"/>
    </row>
    <row r="842" spans="2:4" ht="12.75">
      <c r="B842" t="s">
        <v>650</v>
      </c>
      <c r="D842" s="55"/>
    </row>
    <row r="843" spans="2:4" ht="12.75">
      <c r="B843" t="s">
        <v>654</v>
      </c>
      <c r="D843" s="55"/>
    </row>
    <row r="844" spans="2:4" ht="12.75">
      <c r="B844" t="s">
        <v>655</v>
      </c>
      <c r="D844" s="55"/>
    </row>
    <row r="845" ht="12.75">
      <c r="D845" s="55"/>
    </row>
    <row r="846" spans="2:4" ht="12.75">
      <c r="B846" s="21" t="s">
        <v>12</v>
      </c>
      <c r="D846" s="55"/>
    </row>
    <row r="847" ht="12.75">
      <c r="D847" s="55"/>
    </row>
    <row r="849" spans="7:8" ht="12.75">
      <c r="G849" s="25"/>
      <c r="H849" s="25"/>
    </row>
    <row r="850" spans="4:6" ht="12.75">
      <c r="D850" s="3" t="s">
        <v>116</v>
      </c>
      <c r="F850" s="15"/>
    </row>
    <row r="851" spans="5:9" ht="12.75">
      <c r="E851" s="3" t="s">
        <v>656</v>
      </c>
      <c r="F851" s="3" t="s">
        <v>657</v>
      </c>
      <c r="H851" t="s">
        <v>658</v>
      </c>
      <c r="I851" s="2" t="s">
        <v>117</v>
      </c>
    </row>
    <row r="852" ht="12.75">
      <c r="E852" t="s">
        <v>659</v>
      </c>
    </row>
    <row r="853" spans="3:9" ht="12.75">
      <c r="C853" s="22"/>
      <c r="D853" s="2" t="s">
        <v>125</v>
      </c>
      <c r="E853" t="s">
        <v>126</v>
      </c>
      <c r="I853" s="15" t="s">
        <v>662</v>
      </c>
    </row>
    <row r="854" ht="12.75">
      <c r="C854" s="3" t="s">
        <v>132</v>
      </c>
    </row>
    <row r="855" spans="3:5" ht="12.75">
      <c r="C855" s="22"/>
      <c r="D855" t="s">
        <v>660</v>
      </c>
      <c r="E855" s="22" t="s">
        <v>661</v>
      </c>
    </row>
    <row r="856" spans="3:5" ht="12.75">
      <c r="C856" s="15"/>
      <c r="E856" s="15"/>
    </row>
    <row r="858" ht="12.75">
      <c r="F858" s="15"/>
    </row>
    <row r="859" ht="12.75">
      <c r="H859" s="61"/>
    </row>
    <row r="860" spans="4:6" ht="12.75">
      <c r="D860" s="55"/>
      <c r="F860" t="s">
        <v>13</v>
      </c>
    </row>
    <row r="861" ht="12.75">
      <c r="D861" s="55"/>
    </row>
    <row r="862" spans="2:6" ht="12.75">
      <c r="B862" t="s">
        <v>663</v>
      </c>
      <c r="D862" s="55"/>
      <c r="F862">
        <v>0.7</v>
      </c>
    </row>
    <row r="863" spans="2:6" ht="12.75">
      <c r="B863" t="s">
        <v>664</v>
      </c>
      <c r="D863" s="55"/>
      <c r="F863">
        <v>1.9</v>
      </c>
    </row>
    <row r="864" spans="2:6" ht="12.75">
      <c r="B864" t="s">
        <v>665</v>
      </c>
      <c r="D864" s="55"/>
      <c r="F864">
        <v>0.6</v>
      </c>
    </row>
    <row r="865" spans="2:6" ht="12.75">
      <c r="B865" t="s">
        <v>666</v>
      </c>
      <c r="D865" s="55"/>
      <c r="F865">
        <v>1.9</v>
      </c>
    </row>
    <row r="866" spans="2:6" ht="12.75">
      <c r="B866" t="s">
        <v>667</v>
      </c>
      <c r="D866" s="55"/>
      <c r="F866" t="s">
        <v>668</v>
      </c>
    </row>
    <row r="867" ht="12.75">
      <c r="D867" s="55"/>
    </row>
    <row r="868" spans="2:4" ht="12.75">
      <c r="B868" t="s">
        <v>669</v>
      </c>
      <c r="D868" s="55"/>
    </row>
    <row r="869" ht="12.75">
      <c r="D869" s="55"/>
    </row>
    <row r="870" spans="2:6" ht="12.75">
      <c r="B870" t="s">
        <v>670</v>
      </c>
      <c r="D870" s="55"/>
      <c r="F870">
        <v>0.04</v>
      </c>
    </row>
    <row r="871" spans="2:6" ht="12.75">
      <c r="B871" t="s">
        <v>671</v>
      </c>
      <c r="D871" s="55"/>
      <c r="F871">
        <f>F864/F870</f>
        <v>15</v>
      </c>
    </row>
    <row r="872" spans="2:6" ht="12.75">
      <c r="B872" t="s">
        <v>673</v>
      </c>
      <c r="D872" s="55"/>
      <c r="F872">
        <v>415</v>
      </c>
    </row>
    <row r="873" spans="2:6" ht="12.75">
      <c r="B873" t="s">
        <v>674</v>
      </c>
      <c r="D873" s="55"/>
      <c r="F873" t="str">
        <f>COMPLEX(F862,F863)</f>
        <v>0.7+1.9i</v>
      </c>
    </row>
    <row r="874" spans="2:6" ht="12.75">
      <c r="B874" t="s">
        <v>675</v>
      </c>
      <c r="D874" s="55"/>
      <c r="F874" t="str">
        <f>COMPLEX(F871,F865)</f>
        <v>15+1.9i</v>
      </c>
    </row>
    <row r="875" ht="12.75">
      <c r="D875" s="55"/>
    </row>
    <row r="876" spans="2:6" ht="12.75">
      <c r="B876" t="s">
        <v>672</v>
      </c>
      <c r="D876" s="55"/>
      <c r="F876" t="str">
        <f>IMDIV(F872,IMSUM(F873,F874))</f>
        <v>24.9702985475032-6.04376652742115i</v>
      </c>
    </row>
    <row r="877" ht="12.75">
      <c r="D877" s="55"/>
    </row>
    <row r="878" spans="2:7" ht="12.75">
      <c r="B878" t="s">
        <v>676</v>
      </c>
      <c r="D878" s="55"/>
      <c r="F878" s="22">
        <f>SQRT(IMREAL(F876)*IMREAL(F876)+IMAGINARY(F876)*IMAGINARY(F876))</f>
        <v>25.691300539081645</v>
      </c>
      <c r="G878" t="s">
        <v>677</v>
      </c>
    </row>
    <row r="879" ht="12.75">
      <c r="D879" s="55"/>
    </row>
    <row r="880" spans="2:4" ht="12.75">
      <c r="B880" t="s">
        <v>678</v>
      </c>
      <c r="D880" s="55"/>
    </row>
    <row r="881" ht="12.75">
      <c r="D881" s="55"/>
    </row>
    <row r="882" spans="2:6" ht="12.75">
      <c r="B882" t="s">
        <v>679</v>
      </c>
      <c r="D882" s="55"/>
      <c r="F882" t="str">
        <f>IMDIV(COMPLEX(1.7,-6.6),1.73205)</f>
        <v>0.981495915244941-3.81051355330389i</v>
      </c>
    </row>
    <row r="883" ht="12.75">
      <c r="D883" s="55"/>
    </row>
    <row r="884" spans="2:6" ht="12.75">
      <c r="B884" t="s">
        <v>680</v>
      </c>
      <c r="D884" s="55"/>
      <c r="F884" t="str">
        <f>IMSUM(F876,F882)</f>
        <v>25.9517944627481-9.85428008072504i</v>
      </c>
    </row>
    <row r="886" spans="2:7" ht="12.75">
      <c r="B886" t="s">
        <v>681</v>
      </c>
      <c r="F886" s="22">
        <f>SQRT(IMREAL(F884)*IMREAL(F884)+IMAGINARY(F884)*IMAGINARY(F884))</f>
        <v>27.759727515703343</v>
      </c>
      <c r="G886" t="s">
        <v>677</v>
      </c>
    </row>
    <row r="888" spans="2:7" ht="12.75">
      <c r="B888" t="s">
        <v>682</v>
      </c>
      <c r="F888" s="22">
        <f>COS(ATAN(IMAGINARY(F884)/IMREAL(F884)))</f>
        <v>0.9348720893628183</v>
      </c>
      <c r="G888" t="s">
        <v>39</v>
      </c>
    </row>
    <row r="890" spans="2:7" ht="12.75">
      <c r="B890" t="s">
        <v>683</v>
      </c>
      <c r="F890" s="65">
        <f>3*F878*F878*F864*(1-F870)/F870</f>
        <v>28513.854290422805</v>
      </c>
      <c r="G890" t="s">
        <v>49</v>
      </c>
    </row>
    <row r="892" ht="12.75">
      <c r="B892" t="s">
        <v>684</v>
      </c>
    </row>
    <row r="894" spans="2:6" ht="12.75">
      <c r="B894" t="s">
        <v>685</v>
      </c>
      <c r="F894">
        <v>-0.04</v>
      </c>
    </row>
    <row r="895" spans="2:7" ht="12.75">
      <c r="B895" t="s">
        <v>671</v>
      </c>
      <c r="F895">
        <f>F864/F894</f>
        <v>-15</v>
      </c>
      <c r="G895" t="s">
        <v>686</v>
      </c>
    </row>
    <row r="897" spans="2:6" ht="12.75">
      <c r="B897" t="s">
        <v>675</v>
      </c>
      <c r="F897" t="str">
        <f>COMPLEX(F895,F865)</f>
        <v>-15+1.9i</v>
      </c>
    </row>
    <row r="899" spans="2:6" ht="12.75">
      <c r="B899" t="s">
        <v>672</v>
      </c>
      <c r="F899" t="str">
        <f>IMDIV(F872,IMSUM(F873,F897))</f>
        <v>-27.1068378020372-7.20321563970219i</v>
      </c>
    </row>
    <row r="901" spans="2:6" ht="12.75">
      <c r="B901" t="s">
        <v>687</v>
      </c>
      <c r="C901" t="s">
        <v>688</v>
      </c>
      <c r="F901" t="str">
        <f>IMSUM(F882,F899)</f>
        <v>-26.1253418867923-11.0137291930061i</v>
      </c>
    </row>
    <row r="903" spans="2:7" ht="12.75">
      <c r="B903" t="s">
        <v>681</v>
      </c>
      <c r="F903" s="22">
        <f>SQRT(IMREAL(F901)*IMREAL(F901)+IMAGINARY(F901)*IMAGINARY(F901))</f>
        <v>28.351996745179324</v>
      </c>
      <c r="G903" t="s">
        <v>677</v>
      </c>
    </row>
    <row r="905" spans="2:7" ht="12.75">
      <c r="B905" t="s">
        <v>682</v>
      </c>
      <c r="F905" s="22">
        <f>COS(ATAN(IMAGINARY(F901)/IMREAL(F901)))</f>
        <v>0.9214639138682315</v>
      </c>
      <c r="G905" t="s">
        <v>314</v>
      </c>
    </row>
    <row r="907" spans="2:7" ht="12.75">
      <c r="B907" t="s">
        <v>689</v>
      </c>
      <c r="F907" s="65">
        <f>3*F872*F903*F905</f>
        <v>32526.050649056415</v>
      </c>
      <c r="G907" t="s">
        <v>49</v>
      </c>
    </row>
    <row r="909" ht="12.75">
      <c r="B909" t="s">
        <v>690</v>
      </c>
    </row>
    <row r="911" spans="2:6" ht="12.75">
      <c r="B911" t="s">
        <v>691</v>
      </c>
      <c r="F911">
        <f>2-F870</f>
        <v>1.96</v>
      </c>
    </row>
    <row r="913" spans="2:6" ht="12.75">
      <c r="B913" t="s">
        <v>671</v>
      </c>
      <c r="F913" s="22">
        <f>F864/F911</f>
        <v>0.30612244897959184</v>
      </c>
    </row>
    <row r="915" spans="2:6" ht="12.75">
      <c r="B915" t="s">
        <v>675</v>
      </c>
      <c r="F915" t="str">
        <f>COMPLEX(F913,F865)</f>
        <v>0.306122448979592+1.9i</v>
      </c>
    </row>
    <row r="917" spans="2:6" ht="12.75">
      <c r="B917" t="s">
        <v>692</v>
      </c>
      <c r="F917" t="str">
        <f>IMDIV(F872,IMSUM(F873,F915))</f>
        <v>27.0213037786384-102.056120965162i</v>
      </c>
    </row>
    <row r="919" spans="2:7" ht="12.75">
      <c r="B919" t="s">
        <v>693</v>
      </c>
      <c r="F919" s="22">
        <f>SQRT(IMREAL(F917)*IMREAL(F917)+IMAGINARY(F917)*IMAGINARY(F917))</f>
        <v>105.5727364633182</v>
      </c>
      <c r="G919" t="s">
        <v>677</v>
      </c>
    </row>
    <row r="921" spans="2:7" ht="12.75">
      <c r="B921" t="s">
        <v>694</v>
      </c>
      <c r="F921" s="22">
        <f>3*F919*F919*F913/104</f>
        <v>98.420745839069</v>
      </c>
      <c r="G921" t="s">
        <v>54</v>
      </c>
    </row>
    <row r="922" ht="13.5" thickBot="1"/>
    <row r="923" spans="4:6" ht="13.5" thickBot="1">
      <c r="D923" s="55"/>
      <c r="E923" s="29" t="s">
        <v>352</v>
      </c>
      <c r="F923" s="30"/>
    </row>
    <row r="925" spans="1:2" ht="12.75">
      <c r="A925" s="21" t="s">
        <v>696</v>
      </c>
      <c r="B925" s="21" t="s">
        <v>697</v>
      </c>
    </row>
    <row r="926" spans="1:2" ht="12.75">
      <c r="A926" s="21"/>
      <c r="B926" s="21"/>
    </row>
    <row r="927" ht="12.75">
      <c r="B927" t="s">
        <v>698</v>
      </c>
    </row>
    <row r="928" ht="12.75">
      <c r="B928" t="s">
        <v>699</v>
      </c>
    </row>
    <row r="929" ht="12.75">
      <c r="B929" t="s">
        <v>700</v>
      </c>
    </row>
    <row r="930" ht="12.75">
      <c r="B930" t="s">
        <v>701</v>
      </c>
    </row>
    <row r="931" ht="12.75">
      <c r="B931" t="s">
        <v>702</v>
      </c>
    </row>
    <row r="932" ht="12.75">
      <c r="B932" t="s">
        <v>703</v>
      </c>
    </row>
    <row r="934" ht="12.75">
      <c r="B934" s="21" t="s">
        <v>12</v>
      </c>
    </row>
    <row r="935" ht="12.75">
      <c r="F935" t="s">
        <v>139</v>
      </c>
    </row>
    <row r="939" ht="12.75">
      <c r="C939" t="s">
        <v>704</v>
      </c>
    </row>
    <row r="940" ht="12.75">
      <c r="E940" s="3" t="s">
        <v>705</v>
      </c>
    </row>
    <row r="944" ht="12.75">
      <c r="E944" t="s">
        <v>706</v>
      </c>
    </row>
    <row r="945" ht="12.75">
      <c r="F945" t="s">
        <v>95</v>
      </c>
    </row>
    <row r="947" ht="12.75">
      <c r="D947" t="s">
        <v>707</v>
      </c>
    </row>
    <row r="949" ht="12.75">
      <c r="D949" t="s">
        <v>708</v>
      </c>
    </row>
    <row r="951" spans="3:4" ht="12.75">
      <c r="C951" t="s">
        <v>710</v>
      </c>
      <c r="D951" t="s">
        <v>709</v>
      </c>
    </row>
    <row r="957" ht="12.75">
      <c r="E957" t="s">
        <v>706</v>
      </c>
    </row>
    <row r="959" ht="12.75">
      <c r="F959" t="s">
        <v>103</v>
      </c>
    </row>
    <row r="961" spans="4:5" ht="12.75">
      <c r="D961" t="s">
        <v>711</v>
      </c>
      <c r="E961" t="s">
        <v>712</v>
      </c>
    </row>
    <row r="964" ht="12.75">
      <c r="C964" t="s">
        <v>713</v>
      </c>
    </row>
    <row r="966" ht="12.75">
      <c r="C966" t="s">
        <v>714</v>
      </c>
    </row>
    <row r="968" ht="12.75">
      <c r="C968" t="s">
        <v>715</v>
      </c>
    </row>
    <row r="970" ht="12.75">
      <c r="C970" t="s">
        <v>716</v>
      </c>
    </row>
    <row r="972" ht="12.75">
      <c r="C972" t="s">
        <v>717</v>
      </c>
    </row>
    <row r="974" spans="3:5" ht="12.75">
      <c r="C974" t="s">
        <v>718</v>
      </c>
      <c r="E974" t="s">
        <v>719</v>
      </c>
    </row>
    <row r="976" spans="3:4" ht="12.75">
      <c r="C976" s="23" t="s">
        <v>390</v>
      </c>
      <c r="D976" t="s">
        <v>720</v>
      </c>
    </row>
    <row r="978" spans="3:7" ht="12.75">
      <c r="C978" t="s">
        <v>721</v>
      </c>
      <c r="F978">
        <f>0.05/110</f>
        <v>0.00045454545454545455</v>
      </c>
      <c r="G978" t="s">
        <v>722</v>
      </c>
    </row>
    <row r="980" spans="2:7" ht="12.75">
      <c r="B980" t="s">
        <v>723</v>
      </c>
      <c r="F980">
        <f>4000*2*3.1416/60</f>
        <v>418.88</v>
      </c>
      <c r="G980" t="s">
        <v>46</v>
      </c>
    </row>
    <row r="982" spans="2:7" ht="12.75">
      <c r="B982" t="s">
        <v>724</v>
      </c>
      <c r="F982">
        <f>0.05/F980</f>
        <v>0.0001193659281894576</v>
      </c>
      <c r="G982" t="s">
        <v>725</v>
      </c>
    </row>
    <row r="984" spans="2:7" ht="12.75">
      <c r="B984" t="s">
        <v>726</v>
      </c>
      <c r="F984">
        <f>0.7*0.0001</f>
        <v>7E-05</v>
      </c>
      <c r="G984" t="s">
        <v>725</v>
      </c>
    </row>
    <row r="985" spans="2:6" ht="12.75">
      <c r="B985" t="s">
        <v>728</v>
      </c>
      <c r="F985">
        <f>F982+F984</f>
        <v>0.0001893659281894576</v>
      </c>
    </row>
    <row r="986" spans="2:6" ht="12.75">
      <c r="B986" t="s">
        <v>727</v>
      </c>
      <c r="F986">
        <f>F978/(F984+F982)</f>
        <v>2.4003550104889464</v>
      </c>
    </row>
    <row r="988" spans="2:6" ht="12.75">
      <c r="B988" t="s">
        <v>731</v>
      </c>
      <c r="F988">
        <f>0.0000018/0.000189</f>
        <v>0.009523809523809523</v>
      </c>
    </row>
    <row r="990" ht="12.75">
      <c r="B990" t="s">
        <v>729</v>
      </c>
    </row>
    <row r="992" spans="2:4" ht="12.75">
      <c r="B992" t="s">
        <v>732</v>
      </c>
      <c r="C992" s="23" t="s">
        <v>390</v>
      </c>
      <c r="D992" t="s">
        <v>730</v>
      </c>
    </row>
    <row r="993" ht="13.5" thickBot="1"/>
    <row r="994" spans="4:6" ht="13.5" thickBot="1">
      <c r="D994" s="55"/>
      <c r="E994" s="29" t="s">
        <v>352</v>
      </c>
      <c r="F994" s="30"/>
    </row>
  </sheetData>
  <sheetProtection/>
  <conditionalFormatting sqref="D425">
    <cfRule type="cellIs" priority="1" dxfId="0" operator="equal" stopIfTrue="1">
      <formula>-0.04</formula>
    </cfRule>
  </conditionalFormatting>
  <hyperlinks>
    <hyperlink ref="E93" location="A6" display="A6"/>
    <hyperlink ref="E135" location="A6" display="A6"/>
    <hyperlink ref="E160" location="A6" display="A6"/>
    <hyperlink ref="E259" location="A6" display="A6"/>
    <hyperlink ref="E300" location="A6" display="A6"/>
    <hyperlink ref="E333" location="A6" display="A6"/>
    <hyperlink ref="E444" location="A6" display="A6"/>
    <hyperlink ref="E500" location="A6" display="A6"/>
    <hyperlink ref="E540" location="A6" display="A6"/>
    <hyperlink ref="E576" location="A6" display="A6"/>
    <hyperlink ref="E610" location="A6" display="A6"/>
    <hyperlink ref="E681" location="A6" display="A6"/>
    <hyperlink ref="E723" location="A6" display="A6"/>
    <hyperlink ref="E777" location="A6" display="A6"/>
    <hyperlink ref="E829" location="A6" display="A6"/>
    <hyperlink ref="B6" r:id="rId1" display="\\ELECTRICAL-GATE\INDULKAR\CHAPTER3.xls#a128"/>
    <hyperlink ref="B7" r:id="rId2" display="\\ELECTRICAL-GATE\INDULKAR\CHAPTER3.xls#a170"/>
    <hyperlink ref="B8" r:id="rId3" display="\\ELECTRICAL-GATE\INDULKAR\CHAPTER3.xls#a195"/>
    <hyperlink ref="B10" r:id="rId4" display="\\ELECTRICAL-GATE\INDULKAR\CHAPTER3.xls#a335"/>
    <hyperlink ref="B9" r:id="rId5" display="\\ELECTRICAL-GATE\INDULKAR\CHAPTER3.xls#a294"/>
    <hyperlink ref="B11" r:id="rId6" display="\\ELECTRICAL-GATE\INDULKAR\CHAPTER3.xls#a368"/>
    <hyperlink ref="B13" r:id="rId7" display="\\ELECTRICAL-GATE\INDULKAR\CHAPTER3.xls#a535"/>
    <hyperlink ref="B15" r:id="rId8" display="\\ELECTRICAL-GATE\INDULKAR\CHAPTER3.xls#a575"/>
    <hyperlink ref="B16" r:id="rId9" display="\\ELECTRICAL-GATE\INDULKAR\CHAPTER3.xls#a612"/>
    <hyperlink ref="B17" r:id="rId10" display="\\ELECTRICAL-GATE\INDULKAR\CHAPTER3.xls#a645"/>
    <hyperlink ref="B18" r:id="rId11" display="\\ELECTRICAL-GATE\INDULKAR\CHAPTER3.xls#a717"/>
    <hyperlink ref="B19" r:id="rId12" display="\\ELECTRICAL-GATE\INDULKAR\CHAPTER3.xls#a759"/>
    <hyperlink ref="B21" location="a813" display="a813"/>
    <hyperlink ref="B5" r:id="rId13" display="\\ELECTRICAL-GATE\INDULKAR\CHAPTER3.xls#a62"/>
    <hyperlink ref="B12" location="a479" display="a479"/>
    <hyperlink ref="B5:C5" location="a62" display="a62"/>
    <hyperlink ref="B6:C6" location="a128" display="a128"/>
    <hyperlink ref="B7:C7" location="a170" display="a170"/>
    <hyperlink ref="B8:C8" location="a195" display="a195"/>
    <hyperlink ref="B9:C9" location="a294" display="a294"/>
    <hyperlink ref="B10:C10" location="a335" display="a335"/>
    <hyperlink ref="B11:C11" location="a368" display="a368"/>
    <hyperlink ref="B12:C12" location="a479" display="a479"/>
    <hyperlink ref="B13:C13" location="a535" display="a535"/>
    <hyperlink ref="B15:C15" location="a575" display="a575"/>
    <hyperlink ref="B16:C16" location="a612" display="a612"/>
    <hyperlink ref="B17:C17" location="a645" display="a645"/>
    <hyperlink ref="B18:C18" location="a717" display="a717"/>
    <hyperlink ref="B19:C19" location="a759" display="a759"/>
    <hyperlink ref="B21:C21" location="a813" display="a813"/>
    <hyperlink ref="A26" r:id="rId14" display="WEBSITE"/>
    <hyperlink ref="B22" location="Sheet1!A856" display="Sheet1!A856"/>
    <hyperlink ref="E923" location="A6" display="A6"/>
    <hyperlink ref="B23" location="Sheet1!A951" display="Sheet1!A951"/>
    <hyperlink ref="E994" location="A6" display="A6"/>
  </hyperlinks>
  <printOptions gridLines="1"/>
  <pageMargins left="0.75" right="0.75" top="1" bottom="1" header="0.5" footer="0.5"/>
  <pageSetup horizontalDpi="300" verticalDpi="300" orientation="portrait" r:id="rId16"/>
  <headerFooter alignWithMargins="0">
    <oddHeader>&amp;C&amp;A</oddHeader>
    <oddFooter>&amp;CPage &amp;P</oddFooter>
  </headerFooter>
  <drawing r:id="rId1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F4" sqref="F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Induction motor problems</dc:title>
  <dc:subject/>
  <dc:creator>Authorised User</dc:creator>
  <cp:keywords/>
  <dc:description/>
  <cp:lastModifiedBy>C.S Indulkar</cp:lastModifiedBy>
  <cp:lastPrinted>1999-07-24T05:12:16Z</cp:lastPrinted>
  <dcterms:created xsi:type="dcterms:W3CDTF">1999-01-21T23:13:02Z</dcterms:created>
  <dcterms:modified xsi:type="dcterms:W3CDTF">2012-11-24T11:10:06Z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