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70" windowWidth="9570" windowHeight="2415" tabRatio="60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HTML_CodePage" hidden="1">1252</definedName>
    <definedName name="HTML_Control" hidden="1">{"'Sheet1'!$A$1:$J$1125"}</definedName>
    <definedName name="HTML_Description" hidden="1">""</definedName>
    <definedName name="HTML_Email" hidden="1">""</definedName>
    <definedName name="HTML_Header" hidden="1">"Sheet1"</definedName>
    <definedName name="HTML_LastUpdate" hidden="1">"7/18/99"</definedName>
    <definedName name="HTML_LineAfter" hidden="1">FALSE</definedName>
    <definedName name="HTML_LineBefore" hidden="1">FALSE</definedName>
    <definedName name="HTML_Name" hidden="1">"C.S.Indulkar"</definedName>
    <definedName name="HTML_OBDlg2" hidden="1">TRUE</definedName>
    <definedName name="HTML_OBDlg4" hidden="1">TRUE</definedName>
    <definedName name="HTML_OS" hidden="1">0</definedName>
    <definedName name="HTML_PathFile" hidden="1">"C:\My Documents\HTMl2.htm"</definedName>
    <definedName name="HTML_Title" hidden="1">"CHAPTER2"</definedName>
    <definedName name="solver_lin" localSheetId="0" hidden="1">0</definedName>
    <definedName name="solver_num" localSheetId="0" hidden="1">0</definedName>
    <definedName name="solver_opt" localSheetId="0" hidden="1">'Sheet1'!$G$57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<sst xmlns="http://schemas.openxmlformats.org/spreadsheetml/2006/main" count="1233" uniqueCount="765">
  <si>
    <t>Problems</t>
  </si>
  <si>
    <t>Sub-topics</t>
  </si>
  <si>
    <t>Synchronous generator-Winding distribution factor</t>
  </si>
  <si>
    <t>Synchronous generator-Induced voltage &amp; distribution factor</t>
  </si>
  <si>
    <t>Synchronous generator-Breadth factor and coil pitch factor</t>
  </si>
  <si>
    <t>Synchronous generator- with unity pf load-Phasor diagram</t>
  </si>
  <si>
    <t>Synchronous motor-Power factor improvement</t>
  </si>
  <si>
    <t>Synchronous motor-excitation voltage &amp; torque</t>
  </si>
  <si>
    <t>Synchronous motor-Operation</t>
  </si>
  <si>
    <t>Synchronous motor- operation in parallel with a resistive load</t>
  </si>
  <si>
    <t>Synchronous motor-induced emf &amp; mechanical power developed</t>
  </si>
  <si>
    <t>Synchronous motor -maximum torque</t>
  </si>
  <si>
    <t>Solution:</t>
  </si>
  <si>
    <t>Volts</t>
  </si>
  <si>
    <t>Answer</t>
  </si>
  <si>
    <t>RPM</t>
  </si>
  <si>
    <t>W</t>
  </si>
  <si>
    <t>V</t>
  </si>
  <si>
    <t>A</t>
  </si>
  <si>
    <t>ohm</t>
  </si>
  <si>
    <t>ohms</t>
  </si>
  <si>
    <t>Ia =</t>
  </si>
  <si>
    <t>Watts</t>
  </si>
  <si>
    <t>N-m</t>
  </si>
  <si>
    <t>E1</t>
  </si>
  <si>
    <t>Amps</t>
  </si>
  <si>
    <t>Prob.2.1</t>
  </si>
  <si>
    <t xml:space="preserve">Calculate the value of the distribution factor for a 3-phase alternator having 12-slots per </t>
  </si>
  <si>
    <t>pole.</t>
  </si>
  <si>
    <t xml:space="preserve">slots/pole = </t>
  </si>
  <si>
    <r>
      <t>a,</t>
    </r>
    <r>
      <rPr>
        <sz val="10"/>
        <rFont val="Arial"/>
        <family val="0"/>
      </rPr>
      <t xml:space="preserve"> Electrical angle(radians) between adjacent slots</t>
    </r>
    <r>
      <rPr>
        <sz val="10"/>
        <rFont val="Symbol"/>
        <family val="1"/>
      </rPr>
      <t xml:space="preserve"> =(180/12)*(3.1416/180)=</t>
    </r>
  </si>
  <si>
    <t>m, slots/pole/phase =</t>
  </si>
  <si>
    <r>
      <t>K</t>
    </r>
    <r>
      <rPr>
        <sz val="10"/>
        <rFont val="Arial"/>
        <family val="2"/>
      </rPr>
      <t>d, distribution factor = Sin(m</t>
    </r>
    <r>
      <rPr>
        <sz val="10"/>
        <rFont val="Symbol"/>
        <family val="1"/>
      </rPr>
      <t>a</t>
    </r>
    <r>
      <rPr>
        <sz val="10"/>
        <rFont val="Arial"/>
        <family val="2"/>
      </rPr>
      <t>/2)/m.sin(</t>
    </r>
    <r>
      <rPr>
        <sz val="10"/>
        <rFont val="Symbol"/>
        <family val="1"/>
      </rPr>
      <t>a</t>
    </r>
    <r>
      <rPr>
        <sz val="10"/>
        <rFont val="Arial"/>
        <family val="2"/>
      </rPr>
      <t>/2)=</t>
    </r>
  </si>
  <si>
    <t>Prob. 2.2</t>
  </si>
  <si>
    <t xml:space="preserve">A 3-phase 4-pole alternator has a winding with 8 conductors per slot. The armature has </t>
  </si>
  <si>
    <t>when the alternator is driven at 1800 RPM, with flux of 0.041 Wb in each pole?</t>
  </si>
  <si>
    <r>
      <t>f</t>
    </r>
    <r>
      <rPr>
        <sz val="10"/>
        <rFont val="Arial"/>
        <family val="2"/>
      </rPr>
      <t>, flux per pole</t>
    </r>
  </si>
  <si>
    <t>Webers</t>
  </si>
  <si>
    <t>Z, No. of conductors /phase=36*8/3=</t>
  </si>
  <si>
    <t>N, speed, rpm</t>
  </si>
  <si>
    <t>P, No. of poles</t>
  </si>
  <si>
    <t>f,frquency=NP/120</t>
  </si>
  <si>
    <t>Volts/phase</t>
  </si>
  <si>
    <t>Prob.2.3</t>
  </si>
  <si>
    <t>A 10 MVA ,11 KV,50 Hz ,3-phase star-connected alternator s driven at</t>
  </si>
  <si>
    <t xml:space="preserve"> 300 RPM. The winding is housed in 360 slots and has 6 conductors per </t>
  </si>
  <si>
    <t xml:space="preserve">slot, the coils spanning (5/6) ths of a pole pitch. Calculate the sinusoidally distributed </t>
  </si>
  <si>
    <t xml:space="preserve">flux per pole required to give a line voltage of 11 kV on open circuit, and the full-load </t>
  </si>
  <si>
    <t>current per conductor.</t>
  </si>
  <si>
    <t>f, frequency</t>
  </si>
  <si>
    <t>50</t>
  </si>
  <si>
    <t>Hz</t>
  </si>
  <si>
    <t>N, speed, RPM =</t>
  </si>
  <si>
    <t>P= No. of poles =120f/N</t>
  </si>
  <si>
    <t>slots/pole=360/20=</t>
  </si>
  <si>
    <r>
      <t>a,</t>
    </r>
    <r>
      <rPr>
        <sz val="10"/>
        <rFont val="Arial"/>
        <family val="0"/>
      </rPr>
      <t xml:space="preserve"> Electrical angle(radians) between adjacent slots</t>
    </r>
    <r>
      <rPr>
        <sz val="10"/>
        <rFont val="Symbol"/>
        <family val="1"/>
      </rPr>
      <t xml:space="preserve"> =(180/18)*(3.1416/180)=</t>
    </r>
  </si>
  <si>
    <r>
      <t>K</t>
    </r>
    <r>
      <rPr>
        <sz val="10"/>
        <rFont val="Arial"/>
        <family val="2"/>
      </rPr>
      <t>d, distribution factor = Sin(m</t>
    </r>
    <r>
      <rPr>
        <sz val="10"/>
        <rFont val="Symbol"/>
        <family val="1"/>
      </rPr>
      <t>a</t>
    </r>
    <r>
      <rPr>
        <sz val="10"/>
        <rFont val="Arial"/>
        <family val="2"/>
      </rPr>
      <t>/2)/mSin(</t>
    </r>
    <r>
      <rPr>
        <sz val="10"/>
        <rFont val="Symbol"/>
        <family val="1"/>
      </rPr>
      <t>a</t>
    </r>
    <r>
      <rPr>
        <sz val="10"/>
        <rFont val="Arial"/>
        <family val="2"/>
      </rPr>
      <t>/2)=</t>
    </r>
  </si>
  <si>
    <r>
      <t>Pitch factor, Kp = cos (</t>
    </r>
    <r>
      <rPr>
        <sz val="10"/>
        <rFont val="Symbol"/>
        <family val="1"/>
      </rPr>
      <t>b</t>
    </r>
    <r>
      <rPr>
        <sz val="10"/>
        <rFont val="Arial"/>
        <family val="0"/>
      </rPr>
      <t>/2)</t>
    </r>
  </si>
  <si>
    <t>b=3.1416-(5/6)*3.1416=</t>
  </si>
  <si>
    <t>radians</t>
  </si>
  <si>
    <t>Kp =</t>
  </si>
  <si>
    <r>
      <t>E=2.22 f.Z.</t>
    </r>
    <r>
      <rPr>
        <sz val="10"/>
        <rFont val="Symbol"/>
        <family val="1"/>
      </rPr>
      <t>F</t>
    </r>
    <r>
      <rPr>
        <sz val="10"/>
        <rFont val="Arial"/>
        <family val="0"/>
      </rPr>
      <t>. Kd. Kp</t>
    </r>
  </si>
  <si>
    <t>E = emf per phase=11000/1.73205</t>
  </si>
  <si>
    <t>Z, conductors per phase =</t>
  </si>
  <si>
    <r>
      <t>F,</t>
    </r>
    <r>
      <rPr>
        <sz val="10"/>
        <rFont val="Arial"/>
        <family val="2"/>
      </rPr>
      <t xml:space="preserve"> flux per pole=E/2.22 f. Z. Kd. Kp =</t>
    </r>
  </si>
  <si>
    <t>I=10*10E05/(1.73205*11000)</t>
  </si>
  <si>
    <t>Amps.</t>
  </si>
  <si>
    <t>Prob.2.4</t>
  </si>
  <si>
    <t>A 3-phase star-connect4ed 50 Hz alternator has 96 conductors per phase, and a flux</t>
  </si>
  <si>
    <t>per pole  0f 0.1 Wb. The alternator winding has a synchronous reactance of 5 ohms</t>
  </si>
  <si>
    <t>per phase and negligible resistance. The distribution factor for the stator winding is</t>
  </si>
  <si>
    <t xml:space="preserve">0.96.Calculate the terminal voltage when three non-inductive resistors of 10 ohms per </t>
  </si>
  <si>
    <t>phase are connected in star across the terminals. Sketch the phasor diagram .</t>
  </si>
  <si>
    <t>Phasor Diagram</t>
  </si>
  <si>
    <t>E</t>
  </si>
  <si>
    <t>IX</t>
  </si>
  <si>
    <t>I</t>
  </si>
  <si>
    <t>E = emf per phase</t>
  </si>
  <si>
    <t>Kd, distribution factor</t>
  </si>
  <si>
    <r>
      <t>F,</t>
    </r>
    <r>
      <rPr>
        <sz val="10"/>
        <rFont val="Arial"/>
        <family val="2"/>
      </rPr>
      <t xml:space="preserve"> flux per pole = </t>
    </r>
  </si>
  <si>
    <t>Wb</t>
  </si>
  <si>
    <r>
      <t>E=2.22 f. Z</t>
    </r>
    <r>
      <rPr>
        <sz val="10"/>
        <rFont val="Symbol"/>
        <family val="1"/>
      </rPr>
      <t>. F</t>
    </r>
    <r>
      <rPr>
        <sz val="10"/>
        <rFont val="Arial"/>
        <family val="0"/>
      </rPr>
      <t>. Kd</t>
    </r>
  </si>
  <si>
    <t>X, Synchronous reactance =</t>
  </si>
  <si>
    <t>V = SQRT(E*E - I*I*X*X)</t>
  </si>
  <si>
    <t>Load current I = V/load resistance=V/10</t>
  </si>
  <si>
    <t>Therefore, V = E/sqrt(1+(X*X/10*10))</t>
  </si>
  <si>
    <t>V(L-L)</t>
  </si>
  <si>
    <t>Prob.2.5</t>
  </si>
  <si>
    <t>Two single-phase generators are connected in parallel, and the excitation of each</t>
  </si>
  <si>
    <t xml:space="preserve"> machine is such as to generate an open-circuit emf of 3500 V. The stator winding of </t>
  </si>
  <si>
    <t xml:space="preserve">machine has synchronous reactance of 30 ohms and negligible resistance. If there is </t>
  </si>
  <si>
    <t>a phase displacement of 40 electrical degrees between the emf's ,calculate:</t>
  </si>
  <si>
    <t>(a) the current circulating between the two machines,</t>
  </si>
  <si>
    <t>(b) the terminal voltage, and</t>
  </si>
  <si>
    <t>(c) the power supplied (kW) from one machine to the other.</t>
  </si>
  <si>
    <t>Assume that there is no external load. Sketch the phasor diagram.</t>
  </si>
  <si>
    <t>Circuit diagram:</t>
  </si>
  <si>
    <t>j30 ohms</t>
  </si>
  <si>
    <t>E1=3500</t>
  </si>
  <si>
    <t>0 deg.</t>
  </si>
  <si>
    <t>E2=3500</t>
  </si>
  <si>
    <t>-40 deg.</t>
  </si>
  <si>
    <t>Phasor diagram:</t>
  </si>
  <si>
    <t>E2</t>
  </si>
  <si>
    <r>
      <t>I=(E1-E2</t>
    </r>
    <r>
      <rPr>
        <sz val="10"/>
        <rFont val="Arial"/>
        <family val="0"/>
      </rPr>
      <t>)/j60</t>
    </r>
  </si>
  <si>
    <t>=(3500</t>
  </si>
  <si>
    <t>0-  3500</t>
  </si>
  <si>
    <t>-40)/j60</t>
  </si>
  <si>
    <t>Im I=(-3500+3500Cos(40*3.14/180))/60=</t>
  </si>
  <si>
    <t>RE I=3500*Sin(40*3.14/180)/60</t>
  </si>
  <si>
    <t>I = sqrt(reI*reI + ImI*ImI)=</t>
  </si>
  <si>
    <r>
      <t>V</t>
    </r>
    <r>
      <rPr>
        <sz val="10"/>
        <rFont val="Arial"/>
        <family val="0"/>
      </rPr>
      <t>=3500-j30*(ReI + jImI)</t>
    </r>
  </si>
  <si>
    <r>
      <t>Re</t>
    </r>
    <r>
      <rPr>
        <b/>
        <sz val="10"/>
        <rFont val="Arial"/>
        <family val="0"/>
      </rPr>
      <t xml:space="preserve"> V=</t>
    </r>
    <r>
      <rPr>
        <sz val="10"/>
        <rFont val="Arial"/>
        <family val="0"/>
      </rPr>
      <t>3500+30*Im I=</t>
    </r>
  </si>
  <si>
    <r>
      <t>Im</t>
    </r>
    <r>
      <rPr>
        <b/>
        <sz val="10"/>
        <rFont val="Arial"/>
        <family val="0"/>
      </rPr>
      <t>V=-</t>
    </r>
    <r>
      <rPr>
        <sz val="10"/>
        <rFont val="Arial"/>
        <family val="0"/>
      </rPr>
      <t>30*REI=</t>
    </r>
  </si>
  <si>
    <t>V = SQRT(ReV*ReV + ImV*ImV)</t>
  </si>
  <si>
    <t>Prob.2.6</t>
  </si>
  <si>
    <t>Two 500 kVA alternators operate in parallel to supply the following loads</t>
  </si>
  <si>
    <t>(a) 250 kW at .95 pf lagging</t>
  </si>
  <si>
    <t>(b) 150 kW at .85 pf lagging</t>
  </si>
  <si>
    <t>(c) 300 kW at .75 pf lagging</t>
  </si>
  <si>
    <t>(d) 100 kW at .85 leading</t>
  </si>
  <si>
    <t>One machine is supplying 400kW at .9 pf lagging .Calculate the power factor of the</t>
  </si>
  <si>
    <t>other machine.</t>
  </si>
  <si>
    <t>Solution;</t>
  </si>
  <si>
    <t>Load power factors</t>
  </si>
  <si>
    <r>
      <t>Cos</t>
    </r>
    <r>
      <rPr>
        <sz val="10"/>
        <rFont val="Symbol"/>
        <family val="1"/>
      </rPr>
      <t xml:space="preserve"> f</t>
    </r>
  </si>
  <si>
    <r>
      <t>Sin</t>
    </r>
    <r>
      <rPr>
        <sz val="10"/>
        <rFont val="Symbol"/>
        <family val="1"/>
      </rPr>
      <t xml:space="preserve"> f</t>
    </r>
  </si>
  <si>
    <t>Load kW</t>
  </si>
  <si>
    <t>lag</t>
  </si>
  <si>
    <t>lead</t>
  </si>
  <si>
    <t>Total kW =</t>
  </si>
  <si>
    <t>Total kVAr =</t>
  </si>
  <si>
    <t>Machine 1 pf</t>
  </si>
  <si>
    <t>Machine1 kVAr</t>
  </si>
  <si>
    <t>Machine 2 kVA =</t>
  </si>
  <si>
    <t>Prob.2.7</t>
  </si>
  <si>
    <t>A factory takes 600 kVA at a lagging power factor of 0.6. A synchronous motor is to be</t>
  </si>
  <si>
    <t xml:space="preserve"> installed to raise the power factor to 0.9 lagging when the motor is taking 200 kW.</t>
  </si>
  <si>
    <t>Calculate the corresponding apparent power (in kVA) taken by the motor and the power</t>
  </si>
  <si>
    <t>factor at which it operates .</t>
  </si>
  <si>
    <t>Q2, kVAr</t>
  </si>
  <si>
    <t>P1=360 kW</t>
  </si>
  <si>
    <t>f</t>
  </si>
  <si>
    <t>P2=200 kW</t>
  </si>
  <si>
    <t>Q1=480 kVAr</t>
  </si>
  <si>
    <t>600 kVA</t>
  </si>
  <si>
    <r>
      <t xml:space="preserve">Load power factor, Cos </t>
    </r>
    <r>
      <rPr>
        <sz val="10"/>
        <rFont val="Symbol"/>
        <family val="1"/>
      </rPr>
      <t>f</t>
    </r>
    <r>
      <rPr>
        <sz val="10"/>
        <rFont val="Arial"/>
        <family val="0"/>
      </rPr>
      <t>=</t>
    </r>
  </si>
  <si>
    <r>
      <t xml:space="preserve">Sin </t>
    </r>
    <r>
      <rPr>
        <sz val="10"/>
        <rFont val="Symbol"/>
        <family val="1"/>
      </rPr>
      <t>f</t>
    </r>
  </si>
  <si>
    <t>Load kVA =</t>
  </si>
  <si>
    <r>
      <t>P1,Load power = load kVA*cos</t>
    </r>
    <r>
      <rPr>
        <sz val="10"/>
        <rFont val="Symbol"/>
        <family val="1"/>
      </rPr>
      <t xml:space="preserve"> f</t>
    </r>
  </si>
  <si>
    <t>kW</t>
  </si>
  <si>
    <t>kVAr</t>
  </si>
  <si>
    <t>P2,Motor power =</t>
  </si>
  <si>
    <r>
      <t xml:space="preserve">Overall pf, Cos </t>
    </r>
    <r>
      <rPr>
        <sz val="10"/>
        <rFont val="Symbol"/>
        <family val="1"/>
      </rPr>
      <t>a=</t>
    </r>
  </si>
  <si>
    <r>
      <t>tan</t>
    </r>
    <r>
      <rPr>
        <sz val="10"/>
        <rFont val="Symbol"/>
        <family val="1"/>
      </rPr>
      <t xml:space="preserve"> a =</t>
    </r>
  </si>
  <si>
    <r>
      <t>Since, tan</t>
    </r>
    <r>
      <rPr>
        <sz val="10"/>
        <rFont val="Symbol"/>
        <family val="1"/>
      </rPr>
      <t xml:space="preserve"> a =(</t>
    </r>
    <r>
      <rPr>
        <sz val="10"/>
        <rFont val="Arial"/>
        <family val="2"/>
      </rPr>
      <t>Q1-Q2)/(P1+P2),</t>
    </r>
  </si>
  <si>
    <r>
      <t>Q2=Q1-(P1+P2)tan</t>
    </r>
    <r>
      <rPr>
        <sz val="10"/>
        <rFont val="Symbol"/>
        <family val="1"/>
      </rPr>
      <t>a</t>
    </r>
  </si>
  <si>
    <t>S2,Apparent power of the motor = sqrt(P2*P2+Q2*Q2)</t>
  </si>
  <si>
    <t>kVA</t>
  </si>
  <si>
    <t>Motor pf=P2/S2=</t>
  </si>
  <si>
    <t>Prob.2.8</t>
  </si>
  <si>
    <t>A 55.95 kW ,3-phase,6-pole,60 Hz ,star-connected, cylindrical motor has a synchronous</t>
  </si>
  <si>
    <t>reactance of 9.6 ohms/phase. Its rated terminal voltage is 500 V/phase. Find the value of</t>
  </si>
  <si>
    <t>of excitation voltage that makes maximum torque to be 120 % of the rated torque.</t>
  </si>
  <si>
    <t>P, No. Of poles</t>
  </si>
  <si>
    <t>N,speed,rpm=120*f/P</t>
  </si>
  <si>
    <t>Rated power =</t>
  </si>
  <si>
    <t>Rated power/phase =</t>
  </si>
  <si>
    <t>Rated torque =(60*Rated power)/(2*3.1416*N)</t>
  </si>
  <si>
    <t>kN-m</t>
  </si>
  <si>
    <t>Rated maximum power/phase = EV/Xs</t>
  </si>
  <si>
    <t>Rated max. power per phase = Rated max. torque per phase*2*3.1416*N/60</t>
  </si>
  <si>
    <t>=1.2* Rated torque per phase*2*3.1416*N/60=</t>
  </si>
  <si>
    <t>E = Rated max. power per phase* Xs/V</t>
  </si>
  <si>
    <t>Prob.2.9</t>
  </si>
  <si>
    <t xml:space="preserve">A 74.6 kW,3-phase,6-pole,60 Hz star-connected  synchronous motor has synchronous </t>
  </si>
  <si>
    <t>reactance of 10 ohms per phase. The rated terminal voltage is 1000V /phase.</t>
  </si>
  <si>
    <t>(a) Find the excitation voltage that makes maximum torque to be 130 % of the rated</t>
  </si>
  <si>
    <t>torque.</t>
  </si>
  <si>
    <t xml:space="preserve">(b) The machine is operated with the excitation voltage set as in part (a).For rated load </t>
  </si>
  <si>
    <t>torque, find the armature current, the power factor ,and the torque angle.</t>
  </si>
  <si>
    <t xml:space="preserve">Solution : </t>
  </si>
  <si>
    <t>f, frequency =</t>
  </si>
  <si>
    <t xml:space="preserve">No. of poles = </t>
  </si>
  <si>
    <t>N,speed=120f/poles</t>
  </si>
  <si>
    <t>Prated = Rated power</t>
  </si>
  <si>
    <t>Trated = Rated tirque=60Prated/2*3.1416*N</t>
  </si>
  <si>
    <t>Trated/phase =</t>
  </si>
  <si>
    <t>volts</t>
  </si>
  <si>
    <t>Pmax per phase =1.3 Prated per phase =</t>
  </si>
  <si>
    <t>Pmax = EV/Xs</t>
  </si>
  <si>
    <t>Therefore,</t>
  </si>
  <si>
    <t>E = Xs. Pmax/V=</t>
  </si>
  <si>
    <r>
      <t>Prated = Pmax Sin</t>
    </r>
    <r>
      <rPr>
        <sz val="10"/>
        <rFont val="Symbol"/>
        <family val="1"/>
      </rPr>
      <t xml:space="preserve"> d</t>
    </r>
  </si>
  <si>
    <r>
      <t>d</t>
    </r>
    <r>
      <rPr>
        <sz val="10"/>
        <rFont val="Arial"/>
        <family val="0"/>
      </rPr>
      <t xml:space="preserve"> = Asin(Prated /Pmax)=</t>
    </r>
  </si>
  <si>
    <t>deg.</t>
  </si>
  <si>
    <t>V = E+j Ia. Xs</t>
  </si>
  <si>
    <r>
      <t>Ia =(V-E</t>
    </r>
    <r>
      <rPr>
        <sz val="10"/>
        <rFont val="Arial"/>
        <family val="0"/>
      </rPr>
      <t>)/jXs</t>
    </r>
  </si>
  <si>
    <r>
      <t>=(1000+j0-Ecos</t>
    </r>
    <r>
      <rPr>
        <sz val="10"/>
        <rFont val="Symbol"/>
        <family val="1"/>
      </rPr>
      <t>d</t>
    </r>
    <r>
      <rPr>
        <sz val="10"/>
        <rFont val="Arial"/>
        <family val="2"/>
      </rPr>
      <t>+jEsin</t>
    </r>
    <r>
      <rPr>
        <sz val="10"/>
        <rFont val="Symbol"/>
        <family val="1"/>
      </rPr>
      <t>d</t>
    </r>
    <r>
      <rPr>
        <sz val="10"/>
        <rFont val="Arial"/>
        <family val="2"/>
      </rPr>
      <t>)/jXs</t>
    </r>
  </si>
  <si>
    <r>
      <t xml:space="preserve">Note:E lags V by  </t>
    </r>
    <r>
      <rPr>
        <sz val="10"/>
        <rFont val="Symbol"/>
        <family val="1"/>
      </rPr>
      <t xml:space="preserve">d </t>
    </r>
    <r>
      <rPr>
        <sz val="10"/>
        <rFont val="Arial"/>
        <family val="2"/>
      </rPr>
      <t>for a motor</t>
    </r>
  </si>
  <si>
    <r>
      <t xml:space="preserve">Im </t>
    </r>
    <r>
      <rPr>
        <b/>
        <sz val="10"/>
        <rFont val="Arial"/>
        <family val="0"/>
      </rPr>
      <t>Ia =</t>
    </r>
  </si>
  <si>
    <r>
      <t xml:space="preserve">(-1000+Ecos </t>
    </r>
    <r>
      <rPr>
        <sz val="10"/>
        <rFont val="Symbol"/>
        <family val="1"/>
      </rPr>
      <t>d</t>
    </r>
    <r>
      <rPr>
        <sz val="10"/>
        <rFont val="Arial"/>
        <family val="0"/>
      </rPr>
      <t>) /Xs</t>
    </r>
  </si>
  <si>
    <r>
      <t>cos</t>
    </r>
    <r>
      <rPr>
        <sz val="10"/>
        <rFont val="Symbol"/>
        <family val="1"/>
      </rPr>
      <t xml:space="preserve">F </t>
    </r>
    <r>
      <rPr>
        <sz val="10"/>
        <rFont val="Arial"/>
        <family val="2"/>
      </rPr>
      <t xml:space="preserve">= Re </t>
    </r>
    <r>
      <rPr>
        <b/>
        <sz val="10"/>
        <rFont val="Arial"/>
        <family val="0"/>
      </rPr>
      <t>Ia/</t>
    </r>
    <r>
      <rPr>
        <sz val="10"/>
        <rFont val="Arial"/>
        <family val="0"/>
      </rPr>
      <t>Ia</t>
    </r>
  </si>
  <si>
    <t>Prob.2.10</t>
  </si>
  <si>
    <t xml:space="preserve">A 3-phase star-connected load takes 50 A current at .707 lagging power factor at 220 v </t>
  </si>
  <si>
    <t xml:space="preserve">between the lines. A 3-phase star-connected round rotor synchronous motor, having a </t>
  </si>
  <si>
    <t>synchronous reactance of 1.27 ohms per phase is connected in parallel with the load.</t>
  </si>
  <si>
    <t xml:space="preserve">The power developed by the motor is 33 kW at a power angle of 30 deg. Neglecting </t>
  </si>
  <si>
    <t xml:space="preserve">armature resistance ,calculate </t>
  </si>
  <si>
    <t>(a) reactive kVA of the motor ,and</t>
  </si>
  <si>
    <t>(b) the overall power factor of the motor and the load.</t>
  </si>
  <si>
    <t>IL</t>
  </si>
  <si>
    <t>Motor</t>
  </si>
  <si>
    <t>Load</t>
  </si>
  <si>
    <t>Ia</t>
  </si>
  <si>
    <t>a</t>
  </si>
  <si>
    <r>
      <t>a</t>
    </r>
    <r>
      <rPr>
        <sz val="10"/>
        <rFont val="Arial"/>
        <family val="0"/>
      </rPr>
      <t>1</t>
    </r>
  </si>
  <si>
    <t>d</t>
  </si>
  <si>
    <t>jIa. Xs</t>
  </si>
  <si>
    <r>
      <t>Cos</t>
    </r>
    <r>
      <rPr>
        <sz val="10"/>
        <rFont val="Symbol"/>
        <family val="1"/>
      </rPr>
      <t xml:space="preserve"> f </t>
    </r>
    <r>
      <rPr>
        <sz val="10"/>
        <rFont val="Arial"/>
        <family val="0"/>
      </rPr>
      <t>=</t>
    </r>
  </si>
  <si>
    <r>
      <t>Sin</t>
    </r>
    <r>
      <rPr>
        <sz val="10"/>
        <rFont val="Symbol"/>
        <family val="1"/>
      </rPr>
      <t xml:space="preserve"> f</t>
    </r>
    <r>
      <rPr>
        <sz val="10"/>
        <rFont val="Arial"/>
        <family val="0"/>
      </rPr>
      <t xml:space="preserve"> =</t>
    </r>
  </si>
  <si>
    <t>IL = load current =</t>
  </si>
  <si>
    <t>V per phase =</t>
  </si>
  <si>
    <t xml:space="preserve">P, motor Power/phase = </t>
  </si>
  <si>
    <t>Xs =</t>
  </si>
  <si>
    <r>
      <t xml:space="preserve">d </t>
    </r>
    <r>
      <rPr>
        <sz val="10"/>
        <rFont val="Arial"/>
        <family val="2"/>
      </rPr>
      <t>= load angle, deg=</t>
    </r>
  </si>
  <si>
    <t xml:space="preserve">radians = </t>
  </si>
  <si>
    <r>
      <t>P = VE Sin</t>
    </r>
    <r>
      <rPr>
        <sz val="10"/>
        <rFont val="Symbol"/>
        <family val="1"/>
      </rPr>
      <t xml:space="preserve"> d/</t>
    </r>
    <r>
      <rPr>
        <sz val="10"/>
        <rFont val="Arial"/>
        <family val="2"/>
      </rPr>
      <t>Xs</t>
    </r>
  </si>
  <si>
    <r>
      <t>E = P Xs/VSin</t>
    </r>
    <r>
      <rPr>
        <sz val="10"/>
        <rFont val="Symbol"/>
        <family val="1"/>
      </rPr>
      <t>d</t>
    </r>
  </si>
  <si>
    <r>
      <t>Ia*Ia*Xs*Xs=E*E+V*V-2EVCos</t>
    </r>
    <r>
      <rPr>
        <sz val="10"/>
        <rFont val="Symbol"/>
        <family val="1"/>
      </rPr>
      <t>d</t>
    </r>
  </si>
  <si>
    <r>
      <t>substituting for Xs,E,V,Cos</t>
    </r>
    <r>
      <rPr>
        <sz val="10"/>
        <rFont val="Symbol"/>
        <family val="1"/>
      </rPr>
      <t>d,</t>
    </r>
    <r>
      <rPr>
        <sz val="10"/>
        <rFont val="Arial"/>
        <family val="2"/>
      </rPr>
      <t xml:space="preserve"> we get</t>
    </r>
  </si>
  <si>
    <t>Ia=</t>
  </si>
  <si>
    <r>
      <t>Cos</t>
    </r>
    <r>
      <rPr>
        <sz val="10"/>
        <rFont val="Symbol"/>
        <family val="1"/>
      </rPr>
      <t xml:space="preserve">a </t>
    </r>
    <r>
      <rPr>
        <sz val="10"/>
        <rFont val="Arial"/>
        <family val="2"/>
      </rPr>
      <t>= motor pf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= P/V. Ia</t>
    </r>
  </si>
  <si>
    <r>
      <t>Sin</t>
    </r>
    <r>
      <rPr>
        <sz val="10"/>
        <rFont val="Symbol"/>
        <family val="1"/>
      </rPr>
      <t>a</t>
    </r>
    <r>
      <rPr>
        <sz val="10"/>
        <rFont val="Arial"/>
        <family val="0"/>
      </rPr>
      <t>=</t>
    </r>
  </si>
  <si>
    <t>Motor kVAr =</t>
  </si>
  <si>
    <r>
      <t>1.73*</t>
    </r>
    <r>
      <rPr>
        <sz val="10"/>
        <rFont val="Arial"/>
        <family val="2"/>
      </rPr>
      <t>VIaSin(a)=</t>
    </r>
  </si>
  <si>
    <t>Var</t>
  </si>
  <si>
    <t>Overall power factor angle is given by</t>
  </si>
  <si>
    <r>
      <t>tan</t>
    </r>
    <r>
      <rPr>
        <sz val="10"/>
        <rFont val="Symbol"/>
        <family val="1"/>
      </rPr>
      <t>a</t>
    </r>
    <r>
      <rPr>
        <sz val="10"/>
        <rFont val="Arial"/>
        <family val="0"/>
      </rPr>
      <t>1=</t>
    </r>
  </si>
  <si>
    <t>Overall pf =</t>
  </si>
  <si>
    <t>Prob.2.11</t>
  </si>
  <si>
    <t>A 74.6 kW 400 V 1200 RPM ,3-phase Y-connected synchronous motor has an armature</t>
  </si>
  <si>
    <t xml:space="preserve">resistance of 0.05 ohm per phase  and a leakage reactance of 0.5 ohm per phase. At </t>
  </si>
  <si>
    <t xml:space="preserve"> rated load and 0.8 pf leading current, determine,</t>
  </si>
  <si>
    <t>(a) induced armature emf  E per phase at rated load</t>
  </si>
  <si>
    <t>(b)angle between current and E</t>
  </si>
  <si>
    <t>The motor has a rated load efficiency ,excluding field loss of 90%.</t>
  </si>
  <si>
    <t>Efficiency =</t>
  </si>
  <si>
    <t>Output =</t>
  </si>
  <si>
    <t>Input Power =</t>
  </si>
  <si>
    <t>Voltage(L-L)=</t>
  </si>
  <si>
    <t xml:space="preserve">Voltage/phase = </t>
  </si>
  <si>
    <r>
      <t xml:space="preserve">Pf = cos </t>
    </r>
    <r>
      <rPr>
        <sz val="10"/>
        <rFont val="Symbol"/>
        <family val="1"/>
      </rPr>
      <t>f</t>
    </r>
  </si>
  <si>
    <t>current =</t>
  </si>
  <si>
    <t>IR</t>
  </si>
  <si>
    <t>R=</t>
  </si>
  <si>
    <t>X=</t>
  </si>
  <si>
    <r>
      <t>a,</t>
    </r>
    <r>
      <rPr>
        <sz val="10"/>
        <rFont val="Arial"/>
        <family val="2"/>
      </rPr>
      <t xml:space="preserve"> deg =</t>
    </r>
  </si>
  <si>
    <t>E=</t>
  </si>
  <si>
    <r>
      <t>Mechanical, Power =3EICos</t>
    </r>
    <r>
      <rPr>
        <sz val="10"/>
        <rFont val="Symbol"/>
        <family val="1"/>
      </rPr>
      <t>a</t>
    </r>
  </si>
  <si>
    <t>also Mechanical power = Input power-3I*Ir=</t>
  </si>
  <si>
    <t>Prob.2.12</t>
  </si>
  <si>
    <t>A 1492 kW ,unity power factor,3-phase ,star-connected ,2300 V ,50 Hz ,30 poles,</t>
  </si>
  <si>
    <t xml:space="preserve">synchronous motor has  asynchronous reactance of 1.95 ohm/phase. Compute the </t>
  </si>
  <si>
    <t xml:space="preserve">max. torque in N-m which this motor can deliver if it is supplied from a constant </t>
  </si>
  <si>
    <t>frequency source and if the field excitation is constant at the value which would result</t>
  </si>
  <si>
    <t>in unity power factor at rated load.</t>
  </si>
  <si>
    <t>Assume that the motor is of cylindrical rotor type. Neglect all losses.</t>
  </si>
  <si>
    <t>Rated kVA,3-phase=</t>
  </si>
  <si>
    <t xml:space="preserve">Rated kVA per phase = </t>
  </si>
  <si>
    <t>Rated Voltage/phase = V =</t>
  </si>
  <si>
    <t>Rated current, I =</t>
  </si>
  <si>
    <t>Synchronous reactance, Xs =</t>
  </si>
  <si>
    <t>IXs</t>
  </si>
  <si>
    <t>E = SQRT(V*V + I*I*Xs*Xs)=</t>
  </si>
  <si>
    <t>Pmax = EV/Xs =</t>
  </si>
  <si>
    <t>kW/phase</t>
  </si>
  <si>
    <t>P, No.of poles =</t>
  </si>
  <si>
    <t>Speed,N=120f/P=</t>
  </si>
  <si>
    <r>
      <t xml:space="preserve">Max. Torque, T= 60Pmax/(2 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 N)</t>
    </r>
  </si>
  <si>
    <t>kN-m/ph</t>
  </si>
  <si>
    <t>3-phase max.Torque =</t>
  </si>
  <si>
    <t>kN</t>
  </si>
  <si>
    <t>Prob.2.13</t>
  </si>
  <si>
    <t>= f+d</t>
  </si>
  <si>
    <t>CHAPTER0</t>
  </si>
  <si>
    <t>with Solutions</t>
  </si>
  <si>
    <t>Prob.2.14</t>
  </si>
  <si>
    <t>Synchronous motor- Induced emf</t>
  </si>
  <si>
    <t>A 3-phase 400 V synchronous motor takes 72.5 A at a pf of (I) .8 lead, and (ii) .8 lag.</t>
  </si>
  <si>
    <t xml:space="preserve"> impedance /phase is .2 +j 3 ohms.</t>
  </si>
  <si>
    <t>power supplied in the two cases=1.73*V*I*pf/1000=</t>
  </si>
  <si>
    <t>(i) Leading pf</t>
  </si>
  <si>
    <t>E=V-IZ</t>
  </si>
  <si>
    <r>
      <t>Z</t>
    </r>
    <r>
      <rPr>
        <sz val="10"/>
        <rFont val="Arial"/>
        <family val="0"/>
      </rPr>
      <t>=R+j X</t>
    </r>
  </si>
  <si>
    <r>
      <t>I=</t>
    </r>
    <r>
      <rPr>
        <sz val="10"/>
        <rFont val="Arial"/>
        <family val="2"/>
      </rPr>
      <t>Icos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+j I sin</t>
    </r>
    <r>
      <rPr>
        <sz val="10"/>
        <rFont val="Symbol"/>
        <family val="1"/>
      </rPr>
      <t xml:space="preserve"> f</t>
    </r>
  </si>
  <si>
    <t>=pf=</t>
  </si>
  <si>
    <t>R</t>
  </si>
  <si>
    <t>X</t>
  </si>
  <si>
    <t>=</t>
  </si>
  <si>
    <t>per phase</t>
  </si>
  <si>
    <t>E(L-L)=</t>
  </si>
  <si>
    <t>(ii) Lagging pf</t>
  </si>
  <si>
    <t>ohm/ph</t>
  </si>
  <si>
    <t>Back to top of page</t>
  </si>
  <si>
    <t>Synchronous motor-salient-pole-maximum power</t>
  </si>
  <si>
    <t>Prob.2.15</t>
  </si>
  <si>
    <t xml:space="preserve">maximum mechanical power in kW which this motor can deliver if it is supplied with </t>
  </si>
  <si>
    <t>electric power from an infinite bus at rated voltage and frequency and if its field</t>
  </si>
  <si>
    <t>excitation is constant that results in unity power factor at rated load.</t>
  </si>
  <si>
    <t xml:space="preserve">A 1492 kW ,unity power factor,3-phase, star-connected 220 0V synchronous motor has </t>
  </si>
  <si>
    <t>Voltage ,L-L</t>
  </si>
  <si>
    <t>rated</t>
  </si>
  <si>
    <t>=(kVA/V)*1000=</t>
  </si>
  <si>
    <t>Phasor diagram for full-load conditions:</t>
  </si>
  <si>
    <t>Id</t>
  </si>
  <si>
    <t>Iq</t>
  </si>
  <si>
    <t>jIXq</t>
  </si>
  <si>
    <t>E'</t>
  </si>
  <si>
    <t>Eaf</t>
  </si>
  <si>
    <t>a      c</t>
  </si>
  <si>
    <r>
      <t xml:space="preserve"> </t>
    </r>
    <r>
      <rPr>
        <sz val="10"/>
        <rFont val="Symbol"/>
        <family val="1"/>
      </rPr>
      <t>d</t>
    </r>
  </si>
  <si>
    <t>E'= V-jI .Xq</t>
  </si>
  <si>
    <t>Re E'</t>
  </si>
  <si>
    <t>=V</t>
  </si>
  <si>
    <t>ImE'</t>
  </si>
  <si>
    <t>=-I*Xq</t>
  </si>
  <si>
    <t>Xd</t>
  </si>
  <si>
    <t>Xq</t>
  </si>
  <si>
    <t>E' mag</t>
  </si>
  <si>
    <t>=atan(ImE'/Re E')</t>
  </si>
  <si>
    <r>
      <t xml:space="preserve">Sin(- </t>
    </r>
    <r>
      <rPr>
        <sz val="10"/>
        <rFont val="Symbol"/>
        <family val="1"/>
      </rPr>
      <t>d)</t>
    </r>
  </si>
  <si>
    <t>a'c</t>
  </si>
  <si>
    <t>length</t>
  </si>
  <si>
    <t>=Id*(Xd-Xq)</t>
  </si>
  <si>
    <t>=E'mag+a'c</t>
  </si>
  <si>
    <r>
      <t>P=(Eaf*V*Sin</t>
    </r>
    <r>
      <rPr>
        <sz val="10"/>
        <rFont val="Symbol"/>
        <family val="1"/>
      </rPr>
      <t>d</t>
    </r>
    <r>
      <rPr>
        <sz val="10"/>
        <rFont val="Arial"/>
        <family val="0"/>
      </rPr>
      <t>/Xd)+V*V(Xd-Xq)Sin2</t>
    </r>
    <r>
      <rPr>
        <sz val="10"/>
        <rFont val="Symbol"/>
        <family val="1"/>
      </rPr>
      <t>d</t>
    </r>
    <r>
      <rPr>
        <sz val="10"/>
        <rFont val="Arial"/>
        <family val="0"/>
      </rPr>
      <t>/2XdXq</t>
    </r>
  </si>
  <si>
    <t>=Eaf*V/Xd</t>
  </si>
  <si>
    <t>B</t>
  </si>
  <si>
    <t>=V*V(Xd-Xq)/(2*Xd*Xq)</t>
  </si>
  <si>
    <r>
      <t>P=Asin</t>
    </r>
    <r>
      <rPr>
        <sz val="10"/>
        <rFont val="Symbol"/>
        <family val="1"/>
      </rPr>
      <t>d</t>
    </r>
    <r>
      <rPr>
        <sz val="10"/>
        <rFont val="Arial"/>
        <family val="0"/>
      </rPr>
      <t>+Bsin2</t>
    </r>
    <r>
      <rPr>
        <sz val="10"/>
        <rFont val="Symbol"/>
        <family val="1"/>
      </rPr>
      <t>d</t>
    </r>
  </si>
  <si>
    <r>
      <t>Max.Power occurs when dP/d</t>
    </r>
    <r>
      <rPr>
        <sz val="10"/>
        <rFont val="Symbol"/>
        <family val="1"/>
      </rPr>
      <t>d</t>
    </r>
    <r>
      <rPr>
        <sz val="10"/>
        <rFont val="Arial"/>
        <family val="0"/>
      </rPr>
      <t>= 0,that is ,when</t>
    </r>
  </si>
  <si>
    <t xml:space="preserve">or, when </t>
  </si>
  <si>
    <t>=(-A+sqrt(A*A+32*B*B))/(8*B)</t>
  </si>
  <si>
    <t>deg</t>
  </si>
  <si>
    <t>Pmax</t>
  </si>
  <si>
    <t>rad</t>
  </si>
  <si>
    <t>Pmax,kW for 3 phases=</t>
  </si>
  <si>
    <t>Synchronous machine-operation at maximum power</t>
  </si>
  <si>
    <t>Prob.2.16</t>
  </si>
  <si>
    <t>machine is kept at 1.35 pu</t>
  </si>
  <si>
    <t>(a) Calculate the pull-out power of the machine when operated as a generator</t>
  </si>
  <si>
    <t xml:space="preserve">(b)At the moment of pull-out ,calculate the reactive powers at the generator terminals and </t>
  </si>
  <si>
    <t xml:space="preserve"> at the remote bus.</t>
  </si>
  <si>
    <t>(c )What is the terminal voltage of the generator at the moment of pull-out?</t>
  </si>
  <si>
    <t>(d) Is the machine current overloaded at pull-out?</t>
  </si>
  <si>
    <t>E=1.35V</t>
  </si>
  <si>
    <t>Xs=j.9</t>
  </si>
  <si>
    <t>Xl=j.15ohm</t>
  </si>
  <si>
    <t>Vb=1pu</t>
  </si>
  <si>
    <t>Remote bus</t>
  </si>
  <si>
    <t>Generator</t>
  </si>
  <si>
    <t>Vb=1</t>
  </si>
  <si>
    <t>t</t>
  </si>
  <si>
    <t>Pg</t>
  </si>
  <si>
    <t>Pbus</t>
  </si>
  <si>
    <r>
      <t>Pg=Pbus=EVSin</t>
    </r>
    <r>
      <rPr>
        <sz val="10"/>
        <rFont val="Symbol"/>
        <family val="1"/>
      </rPr>
      <t>d</t>
    </r>
    <r>
      <rPr>
        <sz val="10"/>
        <rFont val="Arial"/>
        <family val="0"/>
      </rPr>
      <t>/Xs= EVSin(90-</t>
    </r>
    <r>
      <rPr>
        <sz val="10"/>
        <rFont val="Symbol"/>
        <family val="1"/>
      </rPr>
      <t>t</t>
    </r>
    <r>
      <rPr>
        <sz val="10"/>
        <rFont val="Arial"/>
        <family val="0"/>
      </rPr>
      <t>)/Xs=EVcos</t>
    </r>
    <r>
      <rPr>
        <sz val="10"/>
        <rFont val="Symbol"/>
        <family val="1"/>
      </rPr>
      <t>t</t>
    </r>
    <r>
      <rPr>
        <sz val="10"/>
        <rFont val="Arial"/>
        <family val="0"/>
      </rPr>
      <t>/Xs=V VbSin</t>
    </r>
    <r>
      <rPr>
        <sz val="10"/>
        <rFont val="Symbol"/>
        <family val="1"/>
      </rPr>
      <t>t</t>
    </r>
    <r>
      <rPr>
        <sz val="10"/>
        <rFont val="Arial"/>
        <family val="0"/>
      </rPr>
      <t>/Xl.Therefore,</t>
    </r>
  </si>
  <si>
    <r>
      <t>tan</t>
    </r>
    <r>
      <rPr>
        <sz val="10"/>
        <rFont val="Symbol"/>
        <family val="1"/>
      </rPr>
      <t>t= E</t>
    </r>
    <r>
      <rPr>
        <sz val="10"/>
        <rFont val="Arial"/>
        <family val="2"/>
      </rPr>
      <t>Xl/Vb.Xs</t>
    </r>
  </si>
  <si>
    <t>Xl</t>
  </si>
  <si>
    <t>Vb</t>
  </si>
  <si>
    <t>Xs</t>
  </si>
  <si>
    <t>(3.14/2)-t</t>
  </si>
  <si>
    <t>radian</t>
  </si>
  <si>
    <t>I=(sqrt(E*E+Vb*Vb))/(Xs+Xl)</t>
  </si>
  <si>
    <r>
      <t>Ixs*Ixs=E*E+V*V-2EVCos(1.57-</t>
    </r>
    <r>
      <rPr>
        <sz val="10"/>
        <rFont val="Symbol"/>
        <family val="1"/>
      </rPr>
      <t>t</t>
    </r>
    <r>
      <rPr>
        <sz val="10"/>
        <rFont val="Arial"/>
        <family val="0"/>
      </rPr>
      <t>)</t>
    </r>
  </si>
  <si>
    <t>This is a quadratic equation in V</t>
  </si>
  <si>
    <t>aV*V+bV+c=0 where</t>
  </si>
  <si>
    <t>b</t>
  </si>
  <si>
    <r>
      <t>-2*Ecos(1.57-</t>
    </r>
    <r>
      <rPr>
        <sz val="10"/>
        <rFont val="Symbol"/>
        <family val="1"/>
      </rPr>
      <t>t</t>
    </r>
    <r>
      <rPr>
        <sz val="10"/>
        <rFont val="Arial"/>
        <family val="0"/>
      </rPr>
      <t>)</t>
    </r>
  </si>
  <si>
    <t>c</t>
  </si>
  <si>
    <t>E*E-I*I*Xs*Xs</t>
  </si>
  <si>
    <t>=(-b+sqrt(b*b-4*a*c))/(2*a)</t>
  </si>
  <si>
    <t>Synchronous machine problems</t>
  </si>
  <si>
    <t>(b) Qg=</t>
  </si>
  <si>
    <r>
      <t>(EVCos</t>
    </r>
    <r>
      <rPr>
        <sz val="10"/>
        <rFont val="Symbol"/>
        <family val="1"/>
      </rPr>
      <t xml:space="preserve"> (d </t>
    </r>
    <r>
      <rPr>
        <sz val="10"/>
        <rFont val="Arial"/>
        <family val="2"/>
      </rPr>
      <t>)/Xs)-V*V/Xs</t>
    </r>
  </si>
  <si>
    <t>Generator behaves like shunt reactor</t>
  </si>
  <si>
    <t>Reactive power at bus (defined positive from bus),</t>
  </si>
  <si>
    <t>Qb=</t>
  </si>
  <si>
    <t>pu</t>
  </si>
  <si>
    <t>©</t>
  </si>
  <si>
    <t>V=</t>
  </si>
  <si>
    <t>I=</t>
  </si>
  <si>
    <t xml:space="preserve">Synchronous generator connected to infinite bus-Effect of changing </t>
  </si>
  <si>
    <t>Excitation</t>
  </si>
  <si>
    <t>Prob.2.17</t>
  </si>
  <si>
    <t>A 500 kVA ,3300 V,3-phase alternator has a synchronous reactance of .25 pu.It is</t>
  </si>
  <si>
    <t>delivering full load at .8 pf lagging.By changing the excitation, the emf is increased by 20 % at this load.Calculate the new current and the power factor.The alternator is connected to infinite busbars.</t>
  </si>
  <si>
    <t>at this load.Calculate the new current and the power factor.The alternator is connected to</t>
  </si>
  <si>
    <t>infinite busbars.</t>
  </si>
  <si>
    <t xml:space="preserve">I </t>
  </si>
  <si>
    <t>full load</t>
  </si>
  <si>
    <t xml:space="preserve">Voltage </t>
  </si>
  <si>
    <r>
      <t>=</t>
    </r>
    <r>
      <rPr>
        <b/>
        <sz val="10"/>
        <rFont val="Arial"/>
        <family val="2"/>
      </rPr>
      <t xml:space="preserve">V </t>
    </r>
    <r>
      <rPr>
        <sz val="10"/>
        <rFont val="Arial"/>
        <family val="0"/>
      </rPr>
      <t xml:space="preserve">+ j </t>
    </r>
    <r>
      <rPr>
        <b/>
        <sz val="10"/>
        <rFont val="Arial"/>
        <family val="2"/>
      </rPr>
      <t>I</t>
    </r>
    <r>
      <rPr>
        <sz val="10"/>
        <rFont val="Arial"/>
        <family val="0"/>
      </rPr>
      <t xml:space="preserve"> * </t>
    </r>
    <r>
      <rPr>
        <b/>
        <sz val="10"/>
        <rFont val="Arial"/>
        <family val="2"/>
      </rPr>
      <t>Xs</t>
    </r>
  </si>
  <si>
    <t>=pf</t>
  </si>
  <si>
    <r>
      <t xml:space="preserve">Re </t>
    </r>
    <r>
      <rPr>
        <b/>
        <sz val="10"/>
        <rFont val="Arial"/>
        <family val="2"/>
      </rPr>
      <t>E</t>
    </r>
  </si>
  <si>
    <r>
      <t xml:space="preserve">Im </t>
    </r>
    <r>
      <rPr>
        <b/>
        <sz val="10"/>
        <rFont val="Arial"/>
        <family val="2"/>
      </rPr>
      <t>E</t>
    </r>
  </si>
  <si>
    <t>E mag=</t>
  </si>
  <si>
    <t>Sync.Reactance</t>
  </si>
  <si>
    <t>current</t>
  </si>
  <si>
    <t>Excitation voltage</t>
  </si>
  <si>
    <r>
      <t>=</t>
    </r>
    <r>
      <rPr>
        <b/>
        <sz val="10"/>
        <rFont val="Arial"/>
        <family val="2"/>
      </rPr>
      <t>V</t>
    </r>
    <r>
      <rPr>
        <sz val="10"/>
        <rFont val="Arial"/>
        <family val="0"/>
      </rPr>
      <t xml:space="preserve">+ j </t>
    </r>
    <r>
      <rPr>
        <b/>
        <sz val="10"/>
        <rFont val="Arial"/>
        <family val="2"/>
      </rPr>
      <t>I' Xs</t>
    </r>
  </si>
  <si>
    <r>
      <t>E</t>
    </r>
    <r>
      <rPr>
        <sz val="10"/>
        <rFont val="Arial"/>
        <family val="2"/>
      </rPr>
      <t xml:space="preserve">'  leads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 xml:space="preserve"> by </t>
    </r>
    <r>
      <rPr>
        <sz val="10"/>
        <rFont val="Symbol"/>
        <family val="1"/>
      </rPr>
      <t>d</t>
    </r>
    <r>
      <rPr>
        <sz val="10"/>
        <rFont val="Arial"/>
        <family val="2"/>
      </rPr>
      <t>'</t>
    </r>
  </si>
  <si>
    <t>E'=1.2*E=</t>
  </si>
  <si>
    <r>
      <t xml:space="preserve">Re 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>'</t>
    </r>
  </si>
  <si>
    <r>
      <t xml:space="preserve">Im 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>'</t>
    </r>
  </si>
  <si>
    <r>
      <t>=Im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>'/ Xs</t>
    </r>
  </si>
  <si>
    <r>
      <t>=1.4* Sin</t>
    </r>
    <r>
      <rPr>
        <sz val="10"/>
        <rFont val="Symbol"/>
        <family val="1"/>
      </rPr>
      <t>d</t>
    </r>
    <r>
      <rPr>
        <sz val="10"/>
        <rFont val="Arial"/>
        <family val="0"/>
      </rPr>
      <t>'/Xs</t>
    </r>
  </si>
  <si>
    <r>
      <t>=5.6 Sin</t>
    </r>
    <r>
      <rPr>
        <sz val="10"/>
        <rFont val="Symbol"/>
        <family val="1"/>
      </rPr>
      <t>d</t>
    </r>
    <r>
      <rPr>
        <sz val="10"/>
        <rFont val="Arial"/>
        <family val="0"/>
      </rPr>
      <t>'</t>
    </r>
  </si>
  <si>
    <t>since Xs=.25</t>
  </si>
  <si>
    <t>=(V-Re E')/Xs</t>
  </si>
  <si>
    <r>
      <t xml:space="preserve">=4-5.6* Cos </t>
    </r>
    <r>
      <rPr>
        <sz val="10"/>
        <rFont val="Symbol"/>
        <family val="1"/>
      </rPr>
      <t>d</t>
    </r>
    <r>
      <rPr>
        <sz val="10"/>
        <rFont val="Arial"/>
        <family val="0"/>
      </rPr>
      <t>'</t>
    </r>
  </si>
  <si>
    <t>Since power remains the same,</t>
  </si>
  <si>
    <r>
      <t>=5.6* Sin</t>
    </r>
    <r>
      <rPr>
        <sz val="10"/>
        <rFont val="Symbol"/>
        <family val="1"/>
      </rPr>
      <t>d</t>
    </r>
    <r>
      <rPr>
        <sz val="10"/>
        <rFont val="Arial"/>
        <family val="2"/>
      </rPr>
      <t>'</t>
    </r>
  </si>
  <si>
    <r>
      <t>d</t>
    </r>
    <r>
      <rPr>
        <sz val="10"/>
        <rFont val="Arial"/>
        <family val="0"/>
      </rPr>
      <t>'</t>
    </r>
  </si>
  <si>
    <t>I'</t>
  </si>
  <si>
    <t>new pf=</t>
  </si>
  <si>
    <t>I full load</t>
  </si>
  <si>
    <t>=kVA/Voltage</t>
  </si>
  <si>
    <t>Synchronous motor- for power factor improvement</t>
  </si>
  <si>
    <t>Prob.2.18</t>
  </si>
  <si>
    <t>A 3-phase generator supplying 2800 kW at power factor .7 lagging is loaded to its full</t>
  </si>
  <si>
    <t xml:space="preserve"> an overexcited 3-phase synchronous motor, how much more active power can the </t>
  </si>
  <si>
    <t>Sketch the phasor diagram.</t>
  </si>
  <si>
    <t>G</t>
  </si>
  <si>
    <t>M</t>
  </si>
  <si>
    <t>I1</t>
  </si>
  <si>
    <t>I2</t>
  </si>
  <si>
    <t>pf</t>
  </si>
  <si>
    <t>=kVA per phase=</t>
  </si>
  <si>
    <t xml:space="preserve">Generator can supply an additional power </t>
  </si>
  <si>
    <t>=1333.333-933.333=</t>
  </si>
  <si>
    <t>1200 kW(3-phase)</t>
  </si>
  <si>
    <t>Phasor diagram</t>
  </si>
  <si>
    <t>f2</t>
  </si>
  <si>
    <r>
      <t>f</t>
    </r>
    <r>
      <rPr>
        <sz val="10"/>
        <rFont val="Arial"/>
        <family val="0"/>
      </rPr>
      <t>1</t>
    </r>
  </si>
  <si>
    <r>
      <t>f</t>
    </r>
    <r>
      <rPr>
        <sz val="10"/>
        <rFont val="Arial"/>
        <family val="0"/>
      </rPr>
      <t>2</t>
    </r>
  </si>
  <si>
    <r>
      <t>Cos</t>
    </r>
    <r>
      <rPr>
        <sz val="10"/>
        <rFont val="Symbol"/>
        <family val="1"/>
      </rPr>
      <t>f</t>
    </r>
    <r>
      <rPr>
        <sz val="10"/>
        <rFont val="Arial"/>
        <family val="0"/>
      </rPr>
      <t>1</t>
    </r>
  </si>
  <si>
    <r>
      <t>=kW/cos</t>
    </r>
    <r>
      <rPr>
        <sz val="10"/>
        <rFont val="Symbol"/>
        <family val="1"/>
      </rPr>
      <t>f1</t>
    </r>
  </si>
  <si>
    <t>P2</t>
  </si>
  <si>
    <t>Q2</t>
  </si>
  <si>
    <t>Q1</t>
  </si>
  <si>
    <t>P1=933.333kW</t>
  </si>
  <si>
    <t>P2=400 kW</t>
  </si>
  <si>
    <r>
      <t>=P1tan</t>
    </r>
    <r>
      <rPr>
        <sz val="10"/>
        <rFont val="Symbol"/>
        <family val="1"/>
      </rPr>
      <t>f</t>
    </r>
    <r>
      <rPr>
        <sz val="10"/>
        <rFont val="Arial"/>
        <family val="0"/>
      </rPr>
      <t>1</t>
    </r>
  </si>
  <si>
    <r>
      <t>=P2tan</t>
    </r>
    <r>
      <rPr>
        <sz val="10"/>
        <rFont val="Symbol"/>
        <family val="1"/>
      </rPr>
      <t>f2</t>
    </r>
  </si>
  <si>
    <r>
      <t>=400tan</t>
    </r>
    <r>
      <rPr>
        <sz val="10"/>
        <rFont val="Symbol"/>
        <family val="1"/>
      </rPr>
      <t>f2</t>
    </r>
  </si>
  <si>
    <r>
      <t>tan</t>
    </r>
    <r>
      <rPr>
        <sz val="10"/>
        <rFont val="Symbol"/>
        <family val="1"/>
      </rPr>
      <t>f</t>
    </r>
    <r>
      <rPr>
        <sz val="10"/>
        <rFont val="Arial"/>
        <family val="0"/>
      </rPr>
      <t>1</t>
    </r>
  </si>
  <si>
    <t>Since Q1=Q2,</t>
  </si>
  <si>
    <r>
      <t>tan</t>
    </r>
    <r>
      <rPr>
        <sz val="10"/>
        <rFont val="Symbol"/>
        <family val="1"/>
      </rPr>
      <t>f2</t>
    </r>
  </si>
  <si>
    <r>
      <t>cos</t>
    </r>
    <r>
      <rPr>
        <sz val="10"/>
        <rFont val="Symbol"/>
        <family val="1"/>
      </rPr>
      <t xml:space="preserve"> f2</t>
    </r>
  </si>
  <si>
    <t>Prob.2.19</t>
  </si>
  <si>
    <t>Open circuit, Volts:</t>
  </si>
  <si>
    <t>Field current:A</t>
  </si>
  <si>
    <t>0       3.3        5</t>
  </si>
  <si>
    <t>If, Amps</t>
  </si>
  <si>
    <t>To obtain a normal voltage of 400 V  an excitation of 3.3 A is required</t>
  </si>
  <si>
    <t xml:space="preserve">Short-circuit Ratio= Excitation required to obtain normal voltage/Excitation require to obtain </t>
  </si>
  <si>
    <t>rated current</t>
  </si>
  <si>
    <t>Excitation required to obtain normal voltage</t>
  </si>
  <si>
    <t>Excitation require to obtain rated current</t>
  </si>
  <si>
    <r>
      <t xml:space="preserve">Cos </t>
    </r>
    <r>
      <rPr>
        <sz val="10"/>
        <rFont val="Symbol"/>
        <family val="1"/>
      </rPr>
      <t>f</t>
    </r>
  </si>
  <si>
    <r>
      <t>=SQRT((V*Cos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)*(V*Cos </t>
    </r>
    <r>
      <rPr>
        <sz val="10"/>
        <rFont val="Symbol"/>
        <family val="1"/>
      </rPr>
      <t>f</t>
    </r>
    <r>
      <rPr>
        <sz val="10"/>
        <rFont val="Arial"/>
        <family val="0"/>
      </rPr>
      <t>)+(V*sin</t>
    </r>
    <r>
      <rPr>
        <sz val="10"/>
        <rFont val="Symbol"/>
        <family val="1"/>
      </rPr>
      <t>f</t>
    </r>
    <r>
      <rPr>
        <sz val="10"/>
        <rFont val="Arial"/>
        <family val="0"/>
      </rPr>
      <t>+I*Xs)*(V*sin</t>
    </r>
    <r>
      <rPr>
        <sz val="10"/>
        <rFont val="Symbol"/>
        <family val="1"/>
      </rPr>
      <t>f</t>
    </r>
    <r>
      <rPr>
        <sz val="10"/>
        <rFont val="Arial"/>
        <family val="0"/>
      </rPr>
      <t>+I*Xs))</t>
    </r>
  </si>
  <si>
    <t>Vbase</t>
  </si>
  <si>
    <t>400/1.73205</t>
  </si>
  <si>
    <t>Volts=</t>
  </si>
  <si>
    <t>Epu*Vbase</t>
  </si>
  <si>
    <t>Epu</t>
  </si>
  <si>
    <t>Regulation=</t>
  </si>
  <si>
    <t>=(E-V)/V</t>
  </si>
  <si>
    <t>Synchronous generator-Regulation from Magnetization curve</t>
  </si>
  <si>
    <t>a total of 36 slots. Calculate the distribution factor . What is the induced voltage per phase</t>
  </si>
  <si>
    <t>E = Excitation voltage /phase</t>
  </si>
  <si>
    <t>V = Terminal voltage /phase =</t>
  </si>
  <si>
    <t>Xs = synchronous reactance, ohms =</t>
  </si>
  <si>
    <t>V = terminal voltage/phase =</t>
  </si>
  <si>
    <t>Xs = synchronous reactance/phase =</t>
  </si>
  <si>
    <t>Prated per phase =</t>
  </si>
  <si>
    <t xml:space="preserve">A generator having a synchronous reactance of .9 pu based on its own rating  is connected </t>
  </si>
  <si>
    <t>via a transmission line to a remote bus.The voltage of the remote bus is 1 pu.The line</t>
  </si>
  <si>
    <t xml:space="preserve">reactance is j .15 pu per phase based on the machine MVA. The internal emf E of the </t>
  </si>
  <si>
    <t>j I.Xs</t>
  </si>
  <si>
    <t>(a) Pull-out power=EVb/(Xs+Xl)=</t>
  </si>
  <si>
    <t>Terminal Voltage</t>
  </si>
  <si>
    <t>capacity ,i.e. its maximum rating in kVA.If the power factor is raised to unity by means of</t>
  </si>
  <si>
    <t xml:space="preserve"> generator supply and what must be the power factor of the synchronous motor,</t>
  </si>
  <si>
    <t xml:space="preserve"> assuming that the latter absorbs all extra power obtainable from the generator?</t>
  </si>
  <si>
    <t>The magnetization curve of a 400 V 50 Hz alternator is given by the following readings:</t>
  </si>
  <si>
    <t>O/C Volts(L-L)</t>
  </si>
  <si>
    <t>Syn.Reactance= 1/short-circuit Ratio</t>
  </si>
  <si>
    <t>I.Xs</t>
  </si>
  <si>
    <t>CHAPTER2</t>
  </si>
  <si>
    <t>Synchronous motor-Current &amp; Power factor</t>
  </si>
  <si>
    <t>A 400 V 3-phase star-connected synchronous motor takes 3.73 kW at normal voltage , and</t>
  </si>
  <si>
    <t xml:space="preserve"> is 460 V</t>
  </si>
  <si>
    <t xml:space="preserve"> has an impedance of 1+ j8 ohms/phase.Calculate the current and the pf if the induced emf </t>
  </si>
  <si>
    <t>In this problem,E is greater than V.Therefore ,pf is leading.</t>
  </si>
  <si>
    <r>
      <t>Cos</t>
    </r>
    <r>
      <rPr>
        <sz val="10"/>
        <rFont val="Symbol"/>
        <family val="1"/>
      </rPr>
      <t xml:space="preserve">f     </t>
    </r>
  </si>
  <si>
    <r>
      <t xml:space="preserve">E= E cos 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 xml:space="preserve">  - jEsin </t>
    </r>
    <r>
      <rPr>
        <b/>
        <sz val="10"/>
        <rFont val="Symbol"/>
        <family val="1"/>
      </rPr>
      <t>d</t>
    </r>
  </si>
  <si>
    <t>P</t>
  </si>
  <si>
    <t>L-L</t>
  </si>
  <si>
    <r>
      <t>I2=I Sin</t>
    </r>
    <r>
      <rPr>
        <sz val="10"/>
        <rFont val="Symbol"/>
        <family val="1"/>
      </rPr>
      <t>f</t>
    </r>
  </si>
  <si>
    <r>
      <t xml:space="preserve">E cos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 =V-Ircos</t>
    </r>
    <r>
      <rPr>
        <sz val="10"/>
        <rFont val="Symbol"/>
        <family val="1"/>
      </rPr>
      <t xml:space="preserve"> f</t>
    </r>
    <r>
      <rPr>
        <sz val="10"/>
        <rFont val="Arial"/>
        <family val="2"/>
      </rPr>
      <t xml:space="preserve"> +Ixsin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=V-RI1+XI2</t>
    </r>
  </si>
  <si>
    <r>
      <t xml:space="preserve">Esin </t>
    </r>
    <r>
      <rPr>
        <sz val="10"/>
        <rFont val="Symbol"/>
        <family val="1"/>
      </rPr>
      <t xml:space="preserve">d </t>
    </r>
    <r>
      <rPr>
        <sz val="10"/>
        <rFont val="Arial"/>
        <family val="0"/>
      </rPr>
      <t xml:space="preserve">=-IXCos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-IRSin </t>
    </r>
    <r>
      <rPr>
        <sz val="10"/>
        <rFont val="Symbol"/>
        <family val="1"/>
      </rPr>
      <t xml:space="preserve">f </t>
    </r>
    <r>
      <rPr>
        <sz val="10"/>
        <rFont val="Arial"/>
        <family val="2"/>
      </rPr>
      <t>=-XI1-RI2</t>
    </r>
  </si>
  <si>
    <t>E*E=(V-I1R+I2X)*(V-I1R+I2X)+(XsI1+RI2)*(XsI1+RI2)</t>
  </si>
  <si>
    <t>Eq.1</t>
  </si>
  <si>
    <t>P=3*V*I1</t>
  </si>
  <si>
    <t>Eq.2</t>
  </si>
  <si>
    <t>Eliminate I1 from Eqs.1 an2 respectively,and obtain</t>
  </si>
  <si>
    <t>E*E= (V-(RP/3V)+XsI2)*(V-(RP/3V)+XsI2)+((XsP/3V)+RI2))*((XsP/3V)+RI2))</t>
  </si>
  <si>
    <t>This is a quadratic equation in I2</t>
  </si>
  <si>
    <t>aI2*I2+b*I2+c=0, where</t>
  </si>
  <si>
    <t>a=R*R+Xs*Xs</t>
  </si>
  <si>
    <t>b=2*VXs</t>
  </si>
  <si>
    <t>c=V*V-E*E -(2*R*P/3)+(R*RP*P/(9*V*V))+(Xs*Xs*P*P/(9*V*V))</t>
  </si>
  <si>
    <t>I2=(-b+sqrt(b*b-4*a*c))/2a</t>
  </si>
  <si>
    <t>Power-3 ph</t>
  </si>
  <si>
    <t xml:space="preserve">Therefore, </t>
  </si>
  <si>
    <r>
      <t>I2=Isin</t>
    </r>
    <r>
      <rPr>
        <sz val="10"/>
        <rFont val="Symbol"/>
        <family val="1"/>
      </rPr>
      <t>f</t>
    </r>
  </si>
  <si>
    <r>
      <t>I1=I Cos</t>
    </r>
    <r>
      <rPr>
        <sz val="10"/>
        <rFont val="Symbol"/>
        <family val="1"/>
      </rPr>
      <t>f</t>
    </r>
  </si>
  <si>
    <r>
      <t>I1=Icos</t>
    </r>
    <r>
      <rPr>
        <sz val="10"/>
        <rFont val="Symbol"/>
        <family val="1"/>
      </rPr>
      <t xml:space="preserve">f </t>
    </r>
    <r>
      <rPr>
        <sz val="10"/>
        <rFont val="Arial"/>
        <family val="2"/>
      </rPr>
      <t>=P/(3*V)</t>
    </r>
  </si>
  <si>
    <t>I= sqrt(I1*I1+I2*i2)</t>
  </si>
  <si>
    <r>
      <t>Cos</t>
    </r>
    <r>
      <rPr>
        <sz val="10"/>
        <rFont val="Symbol"/>
        <family val="1"/>
      </rPr>
      <t>f</t>
    </r>
  </si>
  <si>
    <t>=I1/I=</t>
  </si>
  <si>
    <t xml:space="preserve"> --------------</t>
  </si>
  <si>
    <t>Synchronous generator -Salient pole-performance</t>
  </si>
  <si>
    <t>Synchronous generator-Salient pole-Performance</t>
  </si>
  <si>
    <t>A 6.6 kV 5 MVA 6-pole 50 Hz star-connected generator has Xd= 8.7 ohms/phase, Xq =4.35</t>
  </si>
  <si>
    <t>(a) the power factor,output current,and power  in per unit</t>
  </si>
  <si>
    <t>(b) the load angle at maximum torque</t>
  </si>
  <si>
    <t>(d) the stiffness in Nm per mechanical radian for  a load angle of 30 deg.</t>
  </si>
  <si>
    <t xml:space="preserve">per phase </t>
  </si>
  <si>
    <t>=kVA*1000/V=</t>
  </si>
  <si>
    <t>Ef</t>
  </si>
  <si>
    <t>per ph</t>
  </si>
  <si>
    <t>load angle</t>
  </si>
  <si>
    <r>
      <t>=V*sin (</t>
    </r>
    <r>
      <rPr>
        <sz val="10"/>
        <rFont val="Symbol"/>
        <family val="1"/>
      </rPr>
      <t>d)</t>
    </r>
    <r>
      <rPr>
        <sz val="10"/>
        <rFont val="Arial"/>
        <family val="0"/>
      </rPr>
      <t xml:space="preserve"> /Xq</t>
    </r>
  </si>
  <si>
    <r>
      <t xml:space="preserve">Sin(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)</t>
    </r>
  </si>
  <si>
    <r>
      <t>=(E</t>
    </r>
    <r>
      <rPr>
        <sz val="10"/>
        <rFont val="Arial"/>
        <family val="2"/>
      </rPr>
      <t xml:space="preserve">f-V*COS(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 ) )/Xd</t>
    </r>
  </si>
  <si>
    <t>=sqrt(Id*Id+Iq*iq)</t>
  </si>
  <si>
    <t>Ipu</t>
  </si>
  <si>
    <t>Ifl</t>
  </si>
  <si>
    <t>=I/Ifl</t>
  </si>
  <si>
    <r>
      <t>I Cos</t>
    </r>
    <r>
      <rPr>
        <sz val="10"/>
        <rFont val="Symbol"/>
        <family val="1"/>
      </rPr>
      <t xml:space="preserve"> f</t>
    </r>
    <r>
      <rPr>
        <sz val="10"/>
        <rFont val="Arial"/>
        <family val="0"/>
      </rPr>
      <t xml:space="preserve"> = Iq cos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+Id sin</t>
    </r>
    <r>
      <rPr>
        <sz val="10"/>
        <rFont val="Symbol"/>
        <family val="1"/>
      </rPr>
      <t>d</t>
    </r>
  </si>
  <si>
    <r>
      <t xml:space="preserve"> =( Iq cos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+Id(magnitude) sin</t>
    </r>
    <r>
      <rPr>
        <sz val="10"/>
        <rFont val="Symbol"/>
        <family val="1"/>
      </rPr>
      <t>d)/ I</t>
    </r>
  </si>
  <si>
    <t>Power</t>
  </si>
  <si>
    <r>
      <t>=Vpu*Ipu*Cos</t>
    </r>
    <r>
      <rPr>
        <sz val="10"/>
        <rFont val="Symbol"/>
        <family val="1"/>
      </rPr>
      <t>f</t>
    </r>
  </si>
  <si>
    <t>(a)</t>
  </si>
  <si>
    <t>(b)</t>
  </si>
  <si>
    <t>T</t>
  </si>
  <si>
    <r>
      <t>=(VEf Sin (</t>
    </r>
    <r>
      <rPr>
        <sz val="10"/>
        <rFont val="Symbol"/>
        <family val="1"/>
      </rPr>
      <t>d</t>
    </r>
    <r>
      <rPr>
        <sz val="10"/>
        <rFont val="Arial"/>
        <family val="0"/>
      </rPr>
      <t>)/Xd)+(V*V/2)((1/Xq)-(1/Xd)) *Sin(2*</t>
    </r>
    <r>
      <rPr>
        <sz val="10"/>
        <rFont val="Symbol"/>
        <family val="1"/>
      </rPr>
      <t>d</t>
    </r>
    <r>
      <rPr>
        <sz val="10"/>
        <rFont val="Arial"/>
        <family val="0"/>
      </rPr>
      <t>)</t>
    </r>
  </si>
  <si>
    <r>
      <t>Cos (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) </t>
    </r>
  </si>
  <si>
    <r>
      <t>cos</t>
    </r>
    <r>
      <rPr>
        <sz val="10"/>
        <rFont val="Symbol"/>
        <family val="1"/>
      </rPr>
      <t xml:space="preserve"> f</t>
    </r>
  </si>
  <si>
    <r>
      <t xml:space="preserve">Differentiating this expression  with respect to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 and putting it equal to zero gives</t>
    </r>
  </si>
  <si>
    <t>Ef/(2*V)</t>
  </si>
  <si>
    <t>Xq/(Xd-Xq)</t>
  </si>
  <si>
    <t xml:space="preserve">Therefore </t>
  </si>
  <si>
    <r>
      <t>(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) </t>
    </r>
  </si>
  <si>
    <r>
      <t>Sin(</t>
    </r>
    <r>
      <rPr>
        <sz val="10"/>
        <rFont val="Symbol"/>
        <family val="1"/>
      </rPr>
      <t>d</t>
    </r>
    <r>
      <rPr>
        <sz val="10"/>
        <rFont val="Arial"/>
        <family val="0"/>
      </rPr>
      <t>)</t>
    </r>
  </si>
  <si>
    <r>
      <t>Sin(2*</t>
    </r>
    <r>
      <rPr>
        <sz val="10"/>
        <rFont val="Symbol"/>
        <family val="1"/>
      </rPr>
      <t>d</t>
    </r>
    <r>
      <rPr>
        <sz val="10"/>
        <rFont val="Arial"/>
        <family val="0"/>
      </rPr>
      <t>)</t>
    </r>
  </si>
  <si>
    <t>(c)</t>
  </si>
  <si>
    <t>Tmax/Trated=</t>
  </si>
  <si>
    <t>max.value</t>
  </si>
  <si>
    <t>Tmax=</t>
  </si>
  <si>
    <t>dmax</t>
  </si>
  <si>
    <t>=(V*Ef*(Sin (dmax))/Xd)+(V*V/2)*(SIN(2*dmax))*(Xd-Xq)/(Xd*Xq)</t>
  </si>
  <si>
    <t>Trated=</t>
  </si>
  <si>
    <t>at 30deg.</t>
  </si>
  <si>
    <t>(d)</t>
  </si>
  <si>
    <r>
      <t xml:space="preserve">dT/d </t>
    </r>
    <r>
      <rPr>
        <sz val="10"/>
        <rFont val="Symbol"/>
        <family val="1"/>
      </rPr>
      <t>d</t>
    </r>
  </si>
  <si>
    <t>at 30 deg.</t>
  </si>
  <si>
    <t>for 3-phases</t>
  </si>
  <si>
    <t>frequency</t>
  </si>
  <si>
    <t>p</t>
  </si>
  <si>
    <t>pole pairs</t>
  </si>
  <si>
    <t>rev/s</t>
  </si>
  <si>
    <t>ws</t>
  </si>
  <si>
    <r>
      <t>=2</t>
    </r>
    <r>
      <rPr>
        <sz val="10"/>
        <rFont val="Symbol"/>
        <family val="1"/>
      </rPr>
      <t xml:space="preserve"> p</t>
    </r>
    <r>
      <rPr>
        <sz val="10"/>
        <rFont val="Arial"/>
        <family val="0"/>
      </rPr>
      <t xml:space="preserve"> ns=</t>
    </r>
  </si>
  <si>
    <t>Nm per electrical radian</t>
  </si>
  <si>
    <r>
      <t xml:space="preserve">(V*Ef*Cos(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 ) /Xd + (V*V*(Xd-Xq)/(Xd*Xq))*Cos(2</t>
    </r>
    <r>
      <rPr>
        <sz val="10"/>
        <rFont val="Symbol"/>
        <family val="1"/>
      </rPr>
      <t xml:space="preserve"> d</t>
    </r>
    <r>
      <rPr>
        <sz val="10"/>
        <rFont val="Arial"/>
        <family val="2"/>
      </rPr>
      <t xml:space="preserve"> ))/ws</t>
    </r>
  </si>
  <si>
    <t>=30919.1359*p=</t>
  </si>
  <si>
    <t>Nm per mechanical radian</t>
  </si>
  <si>
    <t>ns</t>
  </si>
  <si>
    <t>=f/p</t>
  </si>
  <si>
    <t>rad/sec</t>
  </si>
  <si>
    <t>CONTENTS</t>
  </si>
  <si>
    <t>Synchronous generator-Parallel operation-Example 1</t>
  </si>
  <si>
    <t>Synchronous generator -Parallel operation-Example 2</t>
  </si>
  <si>
    <t>Synchronous generator-Performance Chart</t>
  </si>
  <si>
    <t>Synchronous generator -Performance Chart</t>
  </si>
  <si>
    <t>performance chart for this machine and show on it the stability limit for underexcitation</t>
  </si>
  <si>
    <t>allowing  a safety margin of 10 %.</t>
  </si>
  <si>
    <t>pu and negligible resistance. Choosing  a 3-phase MVA scale of 1 cm = 10 MVA, draw the</t>
  </si>
  <si>
    <t>MVAb</t>
  </si>
  <si>
    <t>MW</t>
  </si>
  <si>
    <t>kV</t>
  </si>
  <si>
    <t>Xbase</t>
  </si>
  <si>
    <t>Xpu</t>
  </si>
  <si>
    <t>ohms/ph</t>
  </si>
  <si>
    <t>Vph</t>
  </si>
  <si>
    <t>kA</t>
  </si>
  <si>
    <t>MVAr</t>
  </si>
  <si>
    <t>3-phase</t>
  </si>
  <si>
    <t>E=1 pu</t>
  </si>
  <si>
    <t>60 MW</t>
  </si>
  <si>
    <t>E=2 pu</t>
  </si>
  <si>
    <t>Load line  .8 pf lag</t>
  </si>
  <si>
    <t>-37.46 MVAr</t>
  </si>
  <si>
    <t>Q</t>
  </si>
  <si>
    <t>AB is the stability limit line for underexcitation</t>
  </si>
  <si>
    <t>An alternator is rated at 60 MW, 11 kV, .8 pf lagging and has  a synchronous reactance of 2</t>
  </si>
  <si>
    <t>Leading Vars per phase = Vph*Vph/X=</t>
  </si>
  <si>
    <t>Calculate  the power supplied  and the induced emf for the two cases . The motor</t>
  </si>
  <si>
    <r>
      <t xml:space="preserve">I </t>
    </r>
    <r>
      <rPr>
        <sz val="10"/>
        <rFont val="Arial"/>
        <family val="2"/>
      </rPr>
      <t>= Ic</t>
    </r>
    <r>
      <rPr>
        <sz val="10"/>
        <rFont val="Symbol"/>
        <family val="1"/>
      </rPr>
      <t>osf</t>
    </r>
    <r>
      <rPr>
        <sz val="10"/>
        <rFont val="Arial"/>
        <family val="2"/>
      </rPr>
      <t xml:space="preserve"> +j I sin</t>
    </r>
    <r>
      <rPr>
        <sz val="10"/>
        <rFont val="Symbol"/>
        <family val="1"/>
      </rPr>
      <t xml:space="preserve"> f</t>
    </r>
  </si>
  <si>
    <r>
      <t>Z</t>
    </r>
    <r>
      <rPr>
        <sz val="10"/>
        <rFont val="Arial"/>
        <family val="0"/>
      </rPr>
      <t xml:space="preserve"> = R+j X</t>
    </r>
  </si>
  <si>
    <t>E = V-IZ</t>
  </si>
  <si>
    <t xml:space="preserve">reactance of Xd = 2 ohms and Xq = 1 ohm per phase. Neglecting losses ,compute the </t>
  </si>
  <si>
    <t>Prob.2.20</t>
  </si>
  <si>
    <t>Prob 2.21</t>
  </si>
  <si>
    <t>= Vbase*Vbase/MVAb</t>
  </si>
  <si>
    <t>= Xpu*Xbase</t>
  </si>
  <si>
    <t>,= Vph/X</t>
  </si>
  <si>
    <r>
      <t>E Co</t>
    </r>
    <r>
      <rPr>
        <sz val="10"/>
        <rFont val="Arial"/>
        <family val="2"/>
      </rPr>
      <t>s</t>
    </r>
    <r>
      <rPr>
        <sz val="10"/>
        <rFont val="Arial"/>
        <family val="0"/>
      </rPr>
      <t xml:space="preserve">d = V+ Ia </t>
    </r>
    <r>
      <rPr>
        <sz val="10"/>
        <rFont val="Arial"/>
        <family val="2"/>
      </rPr>
      <t>Xs Cosa</t>
    </r>
  </si>
  <si>
    <r>
      <t>E Si</t>
    </r>
    <r>
      <rPr>
        <sz val="10"/>
        <rFont val="Arial"/>
        <family val="2"/>
      </rPr>
      <t>n</t>
    </r>
    <r>
      <rPr>
        <sz val="10"/>
        <rFont val="Arial"/>
        <family val="0"/>
      </rPr>
      <t>d = Ia X</t>
    </r>
    <r>
      <rPr>
        <sz val="10"/>
        <rFont val="Arial"/>
        <family val="2"/>
      </rPr>
      <t>s Sina</t>
    </r>
  </si>
  <si>
    <r>
      <t>tan</t>
    </r>
    <r>
      <rPr>
        <sz val="10"/>
        <rFont val="Symbol"/>
        <family val="1"/>
      </rPr>
      <t>a</t>
    </r>
    <r>
      <rPr>
        <sz val="10"/>
        <rFont val="Arial"/>
        <family val="0"/>
      </rPr>
      <t>1=(Ia .S</t>
    </r>
    <r>
      <rPr>
        <sz val="10"/>
        <rFont val="Symbol"/>
        <family val="1"/>
      </rPr>
      <t>i</t>
    </r>
    <r>
      <rPr>
        <sz val="10"/>
        <rFont val="Arial"/>
        <family val="0"/>
      </rPr>
      <t>na- IL</t>
    </r>
    <r>
      <rPr>
        <sz val="10"/>
        <rFont val="Symbol"/>
        <family val="1"/>
      </rPr>
      <t xml:space="preserve">. </t>
    </r>
    <r>
      <rPr>
        <sz val="10"/>
        <rFont val="Arial"/>
        <family val="2"/>
      </rPr>
      <t>Sinf</t>
    </r>
    <r>
      <rPr>
        <sz val="10"/>
        <rFont val="Symbol"/>
        <family val="1"/>
      </rPr>
      <t>)</t>
    </r>
    <r>
      <rPr>
        <sz val="10"/>
        <rFont val="Arial"/>
        <family val="0"/>
      </rPr>
      <t>/(Ia. c</t>
    </r>
    <r>
      <rPr>
        <sz val="10"/>
        <rFont val="Symbol"/>
        <family val="1"/>
      </rPr>
      <t>o</t>
    </r>
    <r>
      <rPr>
        <sz val="10"/>
        <rFont val="Arial"/>
        <family val="0"/>
      </rPr>
      <t>sa+ IL</t>
    </r>
    <r>
      <rPr>
        <sz val="10"/>
        <rFont val="Symbol"/>
        <family val="1"/>
      </rPr>
      <t>.</t>
    </r>
    <r>
      <rPr>
        <sz val="10"/>
        <rFont val="Arial"/>
        <family val="2"/>
      </rPr>
      <t>Cos</t>
    </r>
    <r>
      <rPr>
        <sz val="10"/>
        <rFont val="Symbol"/>
        <family val="1"/>
      </rPr>
      <t>f</t>
    </r>
    <r>
      <rPr>
        <sz val="10"/>
        <rFont val="Arial"/>
        <family val="0"/>
      </rPr>
      <t>)</t>
    </r>
  </si>
  <si>
    <r>
      <t xml:space="preserve">I </t>
    </r>
    <r>
      <rPr>
        <sz val="10"/>
        <rFont val="Arial"/>
        <family val="2"/>
      </rPr>
      <t>= Ic</t>
    </r>
    <r>
      <rPr>
        <sz val="10"/>
        <rFont val="Symbol"/>
        <family val="1"/>
      </rPr>
      <t>o</t>
    </r>
    <r>
      <rPr>
        <sz val="10"/>
        <rFont val="Arial"/>
        <family val="2"/>
      </rPr>
      <t>s</t>
    </r>
    <r>
      <rPr>
        <sz val="10"/>
        <rFont val="Symbol"/>
        <family val="1"/>
      </rPr>
      <t>f-</t>
    </r>
    <r>
      <rPr>
        <sz val="10"/>
        <rFont val="Arial"/>
        <family val="2"/>
      </rPr>
      <t>j I sin</t>
    </r>
    <r>
      <rPr>
        <sz val="10"/>
        <rFont val="Symbol"/>
        <family val="1"/>
      </rPr>
      <t xml:space="preserve"> f</t>
    </r>
  </si>
  <si>
    <r>
      <t>E</t>
    </r>
    <r>
      <rPr>
        <sz val="10"/>
        <rFont val="Arial"/>
        <family val="2"/>
      </rPr>
      <t>= E cos</t>
    </r>
    <r>
      <rPr>
        <sz val="10"/>
        <rFont val="Symbol"/>
        <family val="1"/>
      </rPr>
      <t>d</t>
    </r>
    <r>
      <rPr>
        <sz val="10"/>
        <rFont val="Arial"/>
        <family val="2"/>
      </rPr>
      <t>- jEsin</t>
    </r>
    <r>
      <rPr>
        <sz val="10"/>
        <rFont val="Symbol"/>
        <family val="1"/>
      </rPr>
      <t>d</t>
    </r>
  </si>
  <si>
    <r>
      <t>Ecos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= V-IRcos</t>
    </r>
    <r>
      <rPr>
        <sz val="10"/>
        <rFont val="Symbol"/>
        <family val="1"/>
      </rPr>
      <t>f</t>
    </r>
    <r>
      <rPr>
        <sz val="10"/>
        <rFont val="Arial"/>
        <family val="0"/>
      </rPr>
      <t>-IXsin</t>
    </r>
    <r>
      <rPr>
        <sz val="10"/>
        <rFont val="Symbol"/>
        <family val="1"/>
      </rPr>
      <t>f</t>
    </r>
  </si>
  <si>
    <r>
      <t>Esin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= -IXCos</t>
    </r>
    <r>
      <rPr>
        <sz val="10"/>
        <rFont val="Symbol"/>
        <family val="1"/>
      </rPr>
      <t>f</t>
    </r>
    <r>
      <rPr>
        <sz val="10"/>
        <rFont val="Arial"/>
        <family val="0"/>
      </rPr>
      <t>+IRSin</t>
    </r>
    <r>
      <rPr>
        <sz val="10"/>
        <rFont val="Symbol"/>
        <family val="1"/>
      </rPr>
      <t>f</t>
    </r>
  </si>
  <si>
    <r>
      <t xml:space="preserve">=I*Sin </t>
    </r>
    <r>
      <rPr>
        <sz val="10"/>
        <rFont val="Symbol"/>
        <family val="1"/>
      </rPr>
      <t>d</t>
    </r>
  </si>
  <si>
    <r>
      <t>On changing the excitation, the new labels are E',I',Cos</t>
    </r>
    <r>
      <rPr>
        <sz val="10"/>
        <rFont val="Symbol"/>
        <family val="1"/>
      </rPr>
      <t>f</t>
    </r>
    <r>
      <rPr>
        <sz val="10"/>
        <rFont val="Arial"/>
        <family val="2"/>
      </rPr>
      <t>',Sin</t>
    </r>
    <r>
      <rPr>
        <sz val="10"/>
        <rFont val="Symbol"/>
        <family val="1"/>
      </rPr>
      <t>f</t>
    </r>
    <r>
      <rPr>
        <sz val="10"/>
        <rFont val="Arial"/>
        <family val="2"/>
      </rPr>
      <t>',</t>
    </r>
    <r>
      <rPr>
        <sz val="10"/>
        <rFont val="Symbol"/>
        <family val="1"/>
      </rPr>
      <t>d</t>
    </r>
    <r>
      <rPr>
        <sz val="10"/>
        <rFont val="Arial"/>
        <family val="2"/>
      </rPr>
      <t>'</t>
    </r>
  </si>
  <si>
    <r>
      <t xml:space="preserve">I'*Cos </t>
    </r>
    <r>
      <rPr>
        <sz val="10"/>
        <rFont val="Symbol"/>
        <family val="1"/>
      </rPr>
      <t>f</t>
    </r>
    <r>
      <rPr>
        <sz val="10"/>
        <rFont val="Arial"/>
        <family val="0"/>
      </rPr>
      <t>'</t>
    </r>
  </si>
  <si>
    <r>
      <t>=V-I' *Xs*Sin</t>
    </r>
    <r>
      <rPr>
        <sz val="10"/>
        <rFont val="Symbol"/>
        <family val="1"/>
      </rPr>
      <t>f</t>
    </r>
    <r>
      <rPr>
        <sz val="10"/>
        <rFont val="Arial"/>
        <family val="0"/>
      </rPr>
      <t>'</t>
    </r>
  </si>
  <si>
    <r>
      <t>= I' * Xs*Cos</t>
    </r>
    <r>
      <rPr>
        <sz val="10"/>
        <rFont val="Symbol"/>
        <family val="1"/>
      </rPr>
      <t>f</t>
    </r>
    <r>
      <rPr>
        <sz val="10"/>
        <rFont val="Arial"/>
        <family val="2"/>
      </rPr>
      <t>'</t>
    </r>
  </si>
  <si>
    <r>
      <t>I'* Sin</t>
    </r>
    <r>
      <rPr>
        <sz val="10"/>
        <rFont val="Symbol"/>
        <family val="1"/>
      </rPr>
      <t>f</t>
    </r>
    <r>
      <rPr>
        <sz val="10"/>
        <rFont val="Arial"/>
        <family val="0"/>
      </rPr>
      <t>'</t>
    </r>
  </si>
  <si>
    <r>
      <t>I' Cos</t>
    </r>
    <r>
      <rPr>
        <sz val="10"/>
        <rFont val="Symbol"/>
        <family val="1"/>
      </rPr>
      <t>f</t>
    </r>
    <r>
      <rPr>
        <sz val="10"/>
        <rFont val="Arial"/>
        <family val="0"/>
      </rPr>
      <t>'</t>
    </r>
  </si>
  <si>
    <r>
      <t>=I*cos</t>
    </r>
    <r>
      <rPr>
        <sz val="10"/>
        <rFont val="Symbol"/>
        <family val="1"/>
      </rPr>
      <t>f</t>
    </r>
  </si>
  <si>
    <r>
      <t>=sqrt(I'Cos</t>
    </r>
    <r>
      <rPr>
        <sz val="10"/>
        <rFont val="Symbol"/>
        <family val="1"/>
      </rPr>
      <t>f</t>
    </r>
    <r>
      <rPr>
        <sz val="10"/>
        <rFont val="Arial"/>
        <family val="0"/>
      </rPr>
      <t>'*I'Cos</t>
    </r>
    <r>
      <rPr>
        <sz val="10"/>
        <rFont val="Symbol"/>
        <family val="1"/>
      </rPr>
      <t>f</t>
    </r>
    <r>
      <rPr>
        <sz val="10"/>
        <rFont val="Arial"/>
        <family val="0"/>
      </rPr>
      <t>'+I'Sin</t>
    </r>
    <r>
      <rPr>
        <sz val="10"/>
        <rFont val="Symbol"/>
        <family val="1"/>
      </rPr>
      <t>f</t>
    </r>
    <r>
      <rPr>
        <sz val="10"/>
        <rFont val="Arial"/>
        <family val="0"/>
      </rPr>
      <t>'*I'sin</t>
    </r>
    <r>
      <rPr>
        <sz val="10"/>
        <rFont val="Symbol"/>
        <family val="1"/>
      </rPr>
      <t>f</t>
    </r>
    <r>
      <rPr>
        <sz val="10"/>
        <rFont val="Arial"/>
        <family val="0"/>
      </rPr>
      <t>')</t>
    </r>
  </si>
  <si>
    <r>
      <t>Cos</t>
    </r>
    <r>
      <rPr>
        <sz val="10"/>
        <rFont val="Symbol"/>
        <family val="1"/>
      </rPr>
      <t>f</t>
    </r>
    <r>
      <rPr>
        <sz val="10"/>
        <rFont val="Arial"/>
        <family val="0"/>
      </rPr>
      <t>'</t>
    </r>
  </si>
  <si>
    <t>Prob.2.22</t>
  </si>
  <si>
    <t>Synchronous generator -Parallel operation-Example 3</t>
  </si>
  <si>
    <t>Synchronous generator -Parallel operation-Example3</t>
  </si>
  <si>
    <t xml:space="preserve">Two identical16.66MVA,11 kV 3phase alternators are in parallel equally excited and </t>
  </si>
  <si>
    <t xml:space="preserve">sharing equally a load of 25 MW at 11 kV and .8 pf lagging. Calculate the excitation at </t>
  </si>
  <si>
    <t>1.08 pu.</t>
  </si>
  <si>
    <t>change of terminal voltage and of water supply to either set.</t>
  </si>
  <si>
    <t>jX</t>
  </si>
  <si>
    <r>
      <t>I</t>
    </r>
    <r>
      <rPr>
        <sz val="10"/>
        <rFont val="Arial"/>
        <family val="0"/>
      </rPr>
      <t>1= (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>1-</t>
    </r>
    <r>
      <rPr>
        <b/>
        <sz val="10"/>
        <rFont val="Arial"/>
        <family val="2"/>
      </rPr>
      <t>V</t>
    </r>
    <r>
      <rPr>
        <sz val="10"/>
        <rFont val="Arial"/>
        <family val="0"/>
      </rPr>
      <t>)/jX</t>
    </r>
  </si>
  <si>
    <r>
      <t>I</t>
    </r>
    <r>
      <rPr>
        <sz val="10"/>
        <rFont val="Arial"/>
        <family val="0"/>
      </rPr>
      <t>2= (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>2-</t>
    </r>
    <r>
      <rPr>
        <b/>
        <sz val="10"/>
        <rFont val="Arial"/>
        <family val="2"/>
      </rPr>
      <t>V</t>
    </r>
    <r>
      <rPr>
        <sz val="10"/>
        <rFont val="Arial"/>
        <family val="0"/>
      </rPr>
      <t>)/jX</t>
    </r>
  </si>
  <si>
    <t>I=I1+I2</t>
  </si>
  <si>
    <r>
      <t>V</t>
    </r>
    <r>
      <rPr>
        <sz val="10"/>
        <rFont val="Arial"/>
        <family val="0"/>
      </rPr>
      <t xml:space="preserve">= </t>
    </r>
    <r>
      <rPr>
        <b/>
        <sz val="10"/>
        <rFont val="Arial"/>
        <family val="2"/>
      </rPr>
      <t>(E</t>
    </r>
    <r>
      <rPr>
        <sz val="10"/>
        <rFont val="Arial"/>
        <family val="0"/>
      </rPr>
      <t>1</t>
    </r>
    <r>
      <rPr>
        <b/>
        <sz val="10"/>
        <rFont val="Arial"/>
        <family val="2"/>
      </rPr>
      <t>+E2</t>
    </r>
    <r>
      <rPr>
        <sz val="10"/>
        <rFont val="Arial"/>
        <family val="0"/>
      </rPr>
      <t>-</t>
    </r>
    <r>
      <rPr>
        <b/>
        <sz val="10"/>
        <rFont val="Arial"/>
        <family val="2"/>
      </rPr>
      <t>I</t>
    </r>
    <r>
      <rPr>
        <sz val="10"/>
        <rFont val="Arial"/>
        <family val="0"/>
      </rPr>
      <t>jX)/2,</t>
    </r>
  </si>
  <si>
    <r>
      <t>I</t>
    </r>
    <r>
      <rPr>
        <sz val="10"/>
        <rFont val="Arial"/>
        <family val="0"/>
      </rPr>
      <t xml:space="preserve"> =(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>1/jX) +(</t>
    </r>
    <r>
      <rPr>
        <b/>
        <sz val="10"/>
        <rFont val="Arial"/>
        <family val="2"/>
      </rPr>
      <t>E2</t>
    </r>
    <r>
      <rPr>
        <sz val="10"/>
        <rFont val="Arial"/>
        <family val="0"/>
      </rPr>
      <t>/jX)-(2</t>
    </r>
    <r>
      <rPr>
        <b/>
        <sz val="10"/>
        <rFont val="Arial"/>
        <family val="2"/>
      </rPr>
      <t>V</t>
    </r>
    <r>
      <rPr>
        <sz val="10"/>
        <rFont val="Arial"/>
        <family val="0"/>
      </rPr>
      <t>/jX)</t>
    </r>
  </si>
  <si>
    <r>
      <t>(</t>
    </r>
    <r>
      <rPr>
        <b/>
        <sz val="10"/>
        <rFont val="Arial"/>
        <family val="2"/>
      </rPr>
      <t>V</t>
    </r>
    <r>
      <rPr>
        <sz val="10"/>
        <rFont val="Arial"/>
        <family val="0"/>
      </rPr>
      <t>/jX)=(</t>
    </r>
    <r>
      <rPr>
        <b/>
        <sz val="10"/>
        <rFont val="Arial"/>
        <family val="2"/>
      </rPr>
      <t>E1</t>
    </r>
    <r>
      <rPr>
        <sz val="10"/>
        <rFont val="Arial"/>
        <family val="0"/>
      </rPr>
      <t>/2jX)+(</t>
    </r>
    <r>
      <rPr>
        <b/>
        <sz val="10"/>
        <rFont val="Arial"/>
        <family val="2"/>
      </rPr>
      <t>E2</t>
    </r>
    <r>
      <rPr>
        <sz val="10"/>
        <rFont val="Arial"/>
        <family val="0"/>
      </rPr>
      <t>/2jX)-(</t>
    </r>
    <r>
      <rPr>
        <b/>
        <sz val="10"/>
        <rFont val="Arial"/>
        <family val="2"/>
      </rPr>
      <t>I</t>
    </r>
    <r>
      <rPr>
        <sz val="10"/>
        <rFont val="Arial"/>
        <family val="0"/>
      </rPr>
      <t>/2)</t>
    </r>
  </si>
  <si>
    <r>
      <t>I</t>
    </r>
    <r>
      <rPr>
        <sz val="10"/>
        <rFont val="Arial"/>
        <family val="0"/>
      </rPr>
      <t xml:space="preserve">1= 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>1((1/jX)-(1/2jX))-(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>2/j2X) +(I/2)=( (</t>
    </r>
    <r>
      <rPr>
        <b/>
        <sz val="10"/>
        <rFont val="Arial"/>
        <family val="2"/>
      </rPr>
      <t>E1</t>
    </r>
    <r>
      <rPr>
        <sz val="10"/>
        <rFont val="Arial"/>
        <family val="0"/>
      </rPr>
      <t>-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>2)/2jX)+</t>
    </r>
    <r>
      <rPr>
        <b/>
        <sz val="10"/>
        <rFont val="Arial"/>
        <family val="2"/>
      </rPr>
      <t>I</t>
    </r>
    <r>
      <rPr>
        <sz val="10"/>
        <rFont val="Arial"/>
        <family val="0"/>
      </rPr>
      <t>/2</t>
    </r>
  </si>
  <si>
    <r>
      <t>I</t>
    </r>
    <r>
      <rPr>
        <sz val="10"/>
        <rFont val="Arial"/>
        <family val="0"/>
      </rPr>
      <t xml:space="preserve">2= 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>2((1/jX)-(1/2jX))-</t>
    </r>
    <r>
      <rPr>
        <b/>
        <sz val="10"/>
        <rFont val="Arial"/>
        <family val="2"/>
      </rPr>
      <t>(E</t>
    </r>
    <r>
      <rPr>
        <sz val="10"/>
        <rFont val="Arial"/>
        <family val="0"/>
      </rPr>
      <t>2/j2X) +(I/2)=( (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>2-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>1)/2jX)+</t>
    </r>
    <r>
      <rPr>
        <b/>
        <sz val="10"/>
        <rFont val="Arial"/>
        <family val="2"/>
      </rPr>
      <t>I</t>
    </r>
    <r>
      <rPr>
        <sz val="10"/>
        <rFont val="Arial"/>
        <family val="0"/>
      </rPr>
      <t>/2</t>
    </r>
  </si>
  <si>
    <t>Circulating current</t>
  </si>
  <si>
    <r>
      <t>Here</t>
    </r>
    <r>
      <rPr>
        <b/>
        <sz val="10"/>
        <rFont val="Arial"/>
        <family val="2"/>
      </rPr>
      <t xml:space="preserve"> E1=E2</t>
    </r>
  </si>
  <si>
    <r>
      <t>I1=I2=I</t>
    </r>
    <r>
      <rPr>
        <sz val="10"/>
        <rFont val="Arial"/>
        <family val="0"/>
      </rPr>
      <t>/2</t>
    </r>
  </si>
  <si>
    <t>base</t>
  </si>
  <si>
    <t>MVA</t>
  </si>
  <si>
    <t>Ib</t>
  </si>
  <si>
    <t>I1pu</t>
  </si>
  <si>
    <t>I2pu</t>
  </si>
  <si>
    <t>Vpu</t>
  </si>
  <si>
    <r>
      <t>E1</t>
    </r>
    <r>
      <rPr>
        <sz val="10"/>
        <rFont val="Arial"/>
        <family val="0"/>
      </rPr>
      <t>=V+j</t>
    </r>
    <r>
      <rPr>
        <b/>
        <sz val="10"/>
        <rFont val="Arial"/>
        <family val="2"/>
      </rPr>
      <t>I1</t>
    </r>
    <r>
      <rPr>
        <sz val="10"/>
        <rFont val="Arial"/>
        <family val="0"/>
      </rPr>
      <t>*X</t>
    </r>
  </si>
  <si>
    <r>
      <t>=V+I1*sin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*X</t>
    </r>
  </si>
  <si>
    <r>
      <t xml:space="preserve">Re </t>
    </r>
    <r>
      <rPr>
        <b/>
        <sz val="10"/>
        <rFont val="Arial"/>
        <family val="2"/>
      </rPr>
      <t>E1</t>
    </r>
  </si>
  <si>
    <r>
      <t>Im</t>
    </r>
    <r>
      <rPr>
        <b/>
        <sz val="10"/>
        <rFont val="Arial"/>
        <family val="2"/>
      </rPr>
      <t>E1</t>
    </r>
  </si>
  <si>
    <r>
      <t>E1</t>
    </r>
    <r>
      <rPr>
        <sz val="10"/>
        <rFont val="Arial"/>
        <family val="0"/>
      </rPr>
      <t>mag</t>
    </r>
  </si>
  <si>
    <t>E1 angle</t>
  </si>
  <si>
    <r>
      <t>=I1*Cos</t>
    </r>
    <r>
      <rPr>
        <sz val="10"/>
        <rFont val="Symbol"/>
        <family val="1"/>
      </rPr>
      <t>f*</t>
    </r>
    <r>
      <rPr>
        <sz val="10"/>
        <rFont val="Arial"/>
        <family val="2"/>
      </rPr>
      <t>X</t>
    </r>
  </si>
  <si>
    <t>I1=I2=I/2</t>
  </si>
  <si>
    <t>I1X=I2X</t>
  </si>
  <si>
    <t>( E2'-E1')/j2X flows out of machine 2 and -Ic flows out of machine 1,ie</t>
  </si>
  <si>
    <t>I1'=( I/2)-Ic,   I2'= I/2 +Ic</t>
  </si>
  <si>
    <t>V.</t>
  </si>
  <si>
    <r>
      <t xml:space="preserve">Since the water supply to neither prime mover is changed , </t>
    </r>
    <r>
      <rPr>
        <sz val="10"/>
        <rFont val="Symbol"/>
        <family val="1"/>
      </rPr>
      <t>Ic</t>
    </r>
    <r>
      <rPr>
        <sz val="10"/>
        <rFont val="Arial"/>
        <family val="0"/>
      </rPr>
      <t xml:space="preserve"> must be in quadrature with </t>
    </r>
  </si>
  <si>
    <t>E1=E2=E</t>
  </si>
  <si>
    <t>Ic</t>
  </si>
  <si>
    <t>IcX</t>
  </si>
  <si>
    <t>-IcX</t>
  </si>
  <si>
    <t>E1'</t>
  </si>
  <si>
    <t>E2'</t>
  </si>
  <si>
    <t>I1'</t>
  </si>
  <si>
    <t>I2'</t>
  </si>
  <si>
    <t>E1'= E1-(-jIc)(jX)</t>
  </si>
  <si>
    <t>ReE1'=ReE1-Ic*X</t>
  </si>
  <si>
    <t>ImE1'=ImE1</t>
  </si>
  <si>
    <t>E1'mag</t>
  </si>
  <si>
    <t>=.85E1mag</t>
  </si>
  <si>
    <t>ImE1*ImE1)</t>
  </si>
  <si>
    <t>ReE1*ReE1=</t>
  </si>
  <si>
    <t>ReE1=</t>
  </si>
  <si>
    <t>ImE1*ImE1=</t>
  </si>
  <si>
    <t>Ic=</t>
  </si>
  <si>
    <t>ReE1*ReE1+ImE1*ImE1=</t>
  </si>
  <si>
    <t>2*ReE1*X=</t>
  </si>
  <si>
    <t>a=</t>
  </si>
  <si>
    <t>b=</t>
  </si>
  <si>
    <t>c=</t>
  </si>
  <si>
    <t>Quadratic a*Ic*Ic+b*Ic+c=0 where</t>
  </si>
  <si>
    <r>
      <t>E2</t>
    </r>
    <r>
      <rPr>
        <sz val="10"/>
        <rFont val="Arial"/>
        <family val="0"/>
      </rPr>
      <t>'=</t>
    </r>
    <r>
      <rPr>
        <b/>
        <sz val="10"/>
        <rFont val="Arial"/>
        <family val="2"/>
      </rPr>
      <t>E1</t>
    </r>
    <r>
      <rPr>
        <sz val="10"/>
        <rFont val="Arial"/>
        <family val="0"/>
      </rPr>
      <t>+2*</t>
    </r>
    <r>
      <rPr>
        <b/>
        <sz val="10"/>
        <rFont val="Arial"/>
        <family val="2"/>
      </rPr>
      <t>Ic</t>
    </r>
    <r>
      <rPr>
        <sz val="10"/>
        <rFont val="Arial"/>
        <family val="0"/>
      </rPr>
      <t>*jX=ReE1+j ImE1+2jIc*jX</t>
    </r>
  </si>
  <si>
    <t>ReE2'=</t>
  </si>
  <si>
    <t>=ReE1-2Ic*X</t>
  </si>
  <si>
    <t>ImE2'=</t>
  </si>
  <si>
    <t>=ImE1</t>
  </si>
  <si>
    <t>E2'mag</t>
  </si>
  <si>
    <t xml:space="preserve">rated voltage of each alternator assuming a constant synchronous reactance per phase of </t>
  </si>
  <si>
    <t>When the excitation of machine 1 is reduced so that E1' &lt; E2', a circulating current Ic =</t>
  </si>
  <si>
    <t>E1'mag=sqrt((ReE1-IcX)*(ReE1-IcX)+ ImE1*ImE1)= sqrt(ReE1*ReE1+Ic*Ic*X*X-2*ReE1*IcX+</t>
  </si>
  <si>
    <t>X*X =</t>
  </si>
  <si>
    <t>(c) mechanical power developed within armature at rated load.</t>
  </si>
  <si>
    <t>regulation at .8 pf lagging</t>
  </si>
  <si>
    <t>Full - load current is obtained by 2A excitation on short-circuit. Calculate the percentage</t>
  </si>
  <si>
    <t>(c) the ratio between maximum torque and that occuring with  d= 30 deg.</t>
  </si>
  <si>
    <t>Kd</t>
  </si>
  <si>
    <t>slots/pole</t>
  </si>
  <si>
    <t>slots/pole/phase,m</t>
  </si>
  <si>
    <r>
      <t>V=2.22 f  Z(</t>
    </r>
    <r>
      <rPr>
        <sz val="10"/>
        <rFont val="Symbol"/>
        <family val="1"/>
      </rPr>
      <t>F</t>
    </r>
    <r>
      <rPr>
        <sz val="10"/>
        <rFont val="Arial"/>
        <family val="0"/>
      </rPr>
      <t>) (Kd)=</t>
    </r>
  </si>
  <si>
    <r>
      <t>a</t>
    </r>
    <r>
      <rPr>
        <sz val="10"/>
        <rFont val="Arial"/>
        <family val="0"/>
      </rPr>
      <t>=</t>
    </r>
    <r>
      <rPr>
        <sz val="10"/>
        <rFont val="Symbol"/>
        <family val="1"/>
      </rPr>
      <t>P</t>
    </r>
    <r>
      <rPr>
        <sz val="10"/>
        <rFont val="Arial"/>
        <family val="0"/>
      </rPr>
      <t>/9</t>
    </r>
  </si>
  <si>
    <t>jIX</t>
  </si>
  <si>
    <r>
      <t>Load kVAr = load kW*Sin</t>
    </r>
    <r>
      <rPr>
        <sz val="10"/>
        <rFont val="Symbol"/>
        <family val="1"/>
      </rPr>
      <t xml:space="preserve"> f</t>
    </r>
    <r>
      <rPr>
        <sz val="10"/>
        <rFont val="Arial"/>
        <family val="0"/>
      </rPr>
      <t>/Cos</t>
    </r>
    <r>
      <rPr>
        <sz val="10"/>
        <rFont val="Symbol"/>
        <family val="1"/>
      </rPr>
      <t xml:space="preserve"> f</t>
    </r>
  </si>
  <si>
    <t>Machine 1 kW</t>
  </si>
  <si>
    <t>Machine 2 KW</t>
  </si>
  <si>
    <r>
      <t>Machine2 KVAr</t>
    </r>
    <r>
      <rPr>
        <sz val="10"/>
        <rFont val="Arial"/>
        <family val="0"/>
      </rPr>
      <t xml:space="preserve"> = Total kVAr-Machine1 kVAr</t>
    </r>
  </si>
  <si>
    <r>
      <t>Machine2 pf</t>
    </r>
    <r>
      <rPr>
        <sz val="10"/>
        <rFont val="Arial"/>
        <family val="0"/>
      </rPr>
      <t>=Machine2 kW/Machine2 kVA</t>
    </r>
  </si>
  <si>
    <r>
      <t>Q1,Load reactive power = kVA*S</t>
    </r>
    <r>
      <rPr>
        <sz val="10"/>
        <rFont val="Arial"/>
        <family val="2"/>
      </rPr>
      <t>in</t>
    </r>
    <r>
      <rPr>
        <sz val="10"/>
        <rFont val="Symbol"/>
        <family val="1"/>
      </rPr>
      <t xml:space="preserve"> f</t>
    </r>
  </si>
  <si>
    <r>
      <t xml:space="preserve">Re </t>
    </r>
    <r>
      <rPr>
        <b/>
        <sz val="10"/>
        <rFont val="Arial"/>
        <family val="0"/>
      </rPr>
      <t>Ia =</t>
    </r>
    <r>
      <rPr>
        <sz val="10"/>
        <rFont val="Arial"/>
        <family val="0"/>
      </rPr>
      <t xml:space="preserve"> E</t>
    </r>
    <r>
      <rPr>
        <sz val="10"/>
        <rFont val="Arial"/>
        <family val="2"/>
      </rPr>
      <t>sin</t>
    </r>
    <r>
      <rPr>
        <sz val="10"/>
        <rFont val="Symbol"/>
        <family val="1"/>
      </rPr>
      <t xml:space="preserve"> d</t>
    </r>
    <r>
      <rPr>
        <sz val="10"/>
        <rFont val="Arial"/>
        <family val="0"/>
      </rPr>
      <t>/Xs =</t>
    </r>
  </si>
  <si>
    <t>Circuit Diagram</t>
  </si>
  <si>
    <r>
      <t>tan</t>
    </r>
    <r>
      <rPr>
        <sz val="10"/>
        <rFont val="Symbol"/>
        <family val="1"/>
      </rPr>
      <t xml:space="preserve"> a =</t>
    </r>
    <r>
      <rPr>
        <sz val="10"/>
        <rFont val="Arial"/>
        <family val="2"/>
      </rPr>
      <t xml:space="preserve"> (V.sin</t>
    </r>
    <r>
      <rPr>
        <sz val="10"/>
        <rFont val="Symbol"/>
        <family val="1"/>
      </rPr>
      <t>f</t>
    </r>
    <r>
      <rPr>
        <sz val="10"/>
        <rFont val="Arial"/>
        <family val="2"/>
      </rPr>
      <t>+ IX)/(V .cos</t>
    </r>
    <r>
      <rPr>
        <sz val="10"/>
        <rFont val="Symbol"/>
        <family val="1"/>
      </rPr>
      <t>f</t>
    </r>
    <r>
      <rPr>
        <sz val="10"/>
        <rFont val="Arial"/>
        <family val="2"/>
      </rPr>
      <t>-IR)</t>
    </r>
  </si>
  <si>
    <r>
      <t>E= V- IZ= V-(I cos</t>
    </r>
    <r>
      <rPr>
        <sz val="10"/>
        <rFont val="Symbol"/>
        <family val="1"/>
      </rPr>
      <t>f</t>
    </r>
    <r>
      <rPr>
        <sz val="10"/>
        <rFont val="Arial"/>
        <family val="2"/>
      </rPr>
      <t>+j Isin</t>
    </r>
    <r>
      <rPr>
        <sz val="10"/>
        <rFont val="Symbol"/>
        <family val="1"/>
      </rPr>
      <t>f</t>
    </r>
    <r>
      <rPr>
        <sz val="10"/>
        <rFont val="Arial"/>
        <family val="2"/>
      </rPr>
      <t>)(R+j X)</t>
    </r>
  </si>
  <si>
    <r>
      <t>ReE = V-IR</t>
    </r>
    <r>
      <rPr>
        <sz val="10"/>
        <rFont val="Arial"/>
        <family val="2"/>
      </rPr>
      <t>cos</t>
    </r>
    <r>
      <rPr>
        <sz val="10"/>
        <rFont val="Symbol"/>
        <family val="1"/>
      </rPr>
      <t>f</t>
    </r>
    <r>
      <rPr>
        <sz val="10"/>
        <rFont val="Arial"/>
        <family val="0"/>
      </rPr>
      <t>+IX</t>
    </r>
    <r>
      <rPr>
        <sz val="10"/>
        <rFont val="Arial"/>
        <family val="2"/>
      </rPr>
      <t>si</t>
    </r>
    <r>
      <rPr>
        <sz val="10"/>
        <rFont val="Arial"/>
        <family val="0"/>
      </rPr>
      <t>n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=</t>
    </r>
  </si>
  <si>
    <r>
      <t>ImE = -IX</t>
    </r>
    <r>
      <rPr>
        <sz val="10"/>
        <rFont val="Arial"/>
        <family val="2"/>
      </rPr>
      <t>co</t>
    </r>
    <r>
      <rPr>
        <sz val="10"/>
        <rFont val="Arial"/>
        <family val="0"/>
      </rPr>
      <t>s</t>
    </r>
    <r>
      <rPr>
        <sz val="10"/>
        <rFont val="Symbol"/>
        <family val="1"/>
      </rPr>
      <t>f</t>
    </r>
    <r>
      <rPr>
        <sz val="10"/>
        <rFont val="Arial"/>
        <family val="0"/>
      </rPr>
      <t>+ IR</t>
    </r>
    <r>
      <rPr>
        <sz val="10"/>
        <rFont val="Arial"/>
        <family val="2"/>
      </rPr>
      <t>sin</t>
    </r>
    <r>
      <rPr>
        <sz val="10"/>
        <rFont val="Symbol"/>
        <family val="1"/>
      </rPr>
      <t xml:space="preserve">f </t>
    </r>
  </si>
  <si>
    <r>
      <t>E= E cos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- jEsin</t>
    </r>
    <r>
      <rPr>
        <b/>
        <sz val="10"/>
        <rFont val="Symbol"/>
        <family val="1"/>
      </rPr>
      <t>d</t>
    </r>
  </si>
  <si>
    <r>
      <t>Ecos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= V-IRcos</t>
    </r>
    <r>
      <rPr>
        <sz val="10"/>
        <rFont val="Symbol"/>
        <family val="1"/>
      </rPr>
      <t>f</t>
    </r>
    <r>
      <rPr>
        <sz val="10"/>
        <rFont val="Arial"/>
        <family val="0"/>
      </rPr>
      <t>+IXsin</t>
    </r>
    <r>
      <rPr>
        <sz val="10"/>
        <rFont val="Symbol"/>
        <family val="1"/>
      </rPr>
      <t>f</t>
    </r>
  </si>
  <si>
    <r>
      <t>Esin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= -IXCos</t>
    </r>
    <r>
      <rPr>
        <sz val="10"/>
        <rFont val="Symbol"/>
        <family val="1"/>
      </rPr>
      <t>f</t>
    </r>
    <r>
      <rPr>
        <sz val="10"/>
        <rFont val="Arial"/>
        <family val="0"/>
      </rPr>
      <t>-IRSin</t>
    </r>
    <r>
      <rPr>
        <sz val="10"/>
        <rFont val="Symbol"/>
        <family val="1"/>
      </rPr>
      <t>f</t>
    </r>
  </si>
  <si>
    <t>E               IX</t>
  </si>
  <si>
    <r>
      <t>Sin</t>
    </r>
    <r>
      <rPr>
        <sz val="10"/>
        <rFont val="Symbol"/>
        <family val="1"/>
      </rPr>
      <t>f</t>
    </r>
  </si>
  <si>
    <r>
      <t>Acos</t>
    </r>
    <r>
      <rPr>
        <sz val="10"/>
        <rFont val="Symbol"/>
        <family val="1"/>
      </rPr>
      <t>d</t>
    </r>
    <r>
      <rPr>
        <sz val="10"/>
        <rFont val="Arial"/>
        <family val="2"/>
      </rPr>
      <t>m</t>
    </r>
    <r>
      <rPr>
        <sz val="10"/>
        <rFont val="Arial"/>
        <family val="0"/>
      </rPr>
      <t>+2Bcos2</t>
    </r>
    <r>
      <rPr>
        <sz val="10"/>
        <rFont val="Symbol"/>
        <family val="1"/>
      </rPr>
      <t>d</t>
    </r>
    <r>
      <rPr>
        <sz val="10"/>
        <rFont val="Arial"/>
        <family val="2"/>
      </rPr>
      <t>m</t>
    </r>
    <r>
      <rPr>
        <sz val="10"/>
        <rFont val="Arial"/>
        <family val="0"/>
      </rPr>
      <t>=0</t>
    </r>
  </si>
  <si>
    <r>
      <t>cos</t>
    </r>
    <r>
      <rPr>
        <sz val="10"/>
        <rFont val="Symbol"/>
        <family val="1"/>
      </rPr>
      <t>d</t>
    </r>
    <r>
      <rPr>
        <sz val="10"/>
        <rFont val="Arial"/>
        <family val="2"/>
      </rPr>
      <t>m</t>
    </r>
  </si>
  <si>
    <r>
      <t>d</t>
    </r>
    <r>
      <rPr>
        <sz val="10"/>
        <rFont val="Arial"/>
        <family val="2"/>
      </rPr>
      <t>m</t>
    </r>
  </si>
  <si>
    <r>
      <t>=Asin</t>
    </r>
    <r>
      <rPr>
        <sz val="10"/>
        <rFont val="Symbol"/>
        <family val="1"/>
      </rPr>
      <t>d</t>
    </r>
    <r>
      <rPr>
        <sz val="10"/>
        <rFont val="Arial"/>
        <family val="2"/>
      </rPr>
      <t>m</t>
    </r>
    <r>
      <rPr>
        <sz val="10"/>
        <rFont val="Arial"/>
        <family val="0"/>
      </rPr>
      <t>+Bsin2</t>
    </r>
    <r>
      <rPr>
        <sz val="10"/>
        <rFont val="Symbol"/>
        <family val="1"/>
      </rPr>
      <t>d</t>
    </r>
    <r>
      <rPr>
        <sz val="10"/>
        <rFont val="Arial"/>
        <family val="2"/>
      </rPr>
      <t>m</t>
    </r>
  </si>
  <si>
    <t>j I.Xl</t>
  </si>
  <si>
    <r>
      <t>Vb*Vb/Xl-(V*VbCos(</t>
    </r>
    <r>
      <rPr>
        <sz val="10"/>
        <rFont val="Symbol"/>
        <family val="1"/>
      </rPr>
      <t>t</t>
    </r>
    <r>
      <rPr>
        <sz val="10"/>
        <rFont val="Arial"/>
        <family val="0"/>
      </rPr>
      <t>)/Xl</t>
    </r>
  </si>
  <si>
    <r>
      <t>sin</t>
    </r>
    <r>
      <rPr>
        <sz val="10"/>
        <rFont val="Symbol"/>
        <family val="1"/>
      </rPr>
      <t>f</t>
    </r>
  </si>
  <si>
    <r>
      <t>=V- I*Xs*Sin</t>
    </r>
    <r>
      <rPr>
        <sz val="10"/>
        <rFont val="Symbol"/>
        <family val="1"/>
      </rPr>
      <t>f</t>
    </r>
  </si>
  <si>
    <r>
      <t>=I*Xs*Cos</t>
    </r>
    <r>
      <rPr>
        <sz val="10"/>
        <rFont val="Symbol"/>
        <family val="1"/>
      </rPr>
      <t>f</t>
    </r>
  </si>
  <si>
    <t xml:space="preserve"> and the load angle is 30 deg.(elec.), determine</t>
  </si>
  <si>
    <t xml:space="preserve">the excitation voltage of the  the  alternator must be increased , in order to avoid a </t>
  </si>
  <si>
    <t>WEBSITE</t>
  </si>
  <si>
    <t>takes you to the start page after you have read this Chapter.</t>
  </si>
  <si>
    <t>Start page has links to other Chapters.</t>
  </si>
  <si>
    <t xml:space="preserve"> ohms/phase. If the excitation is so adjusted that the excitation voltage Ef = 1.1 kV(L-L),</t>
  </si>
  <si>
    <t>=-(Ef/2*V)*(Xq/(Xd-Xq)) + sqrt((Ef/(2*4*V))*(Ef/(2*V))*(Xq/(Xd-Xq))*(Xq/(Xd-Xq)) -.5)</t>
  </si>
  <si>
    <t>If the excitation voltage of one alternator is to be reduced by 15 % , determine by how much</t>
  </si>
  <si>
    <t>1.1664Ic*Ic-3.241Ic+3.472725=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</si>
</sst>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0"/>
      <name val="Symbol"/>
      <family val="1"/>
    </font>
    <font>
      <b/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0"/>
      <name val="Symbol"/>
      <family val="1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sz val="10"/>
      <color indexed="61"/>
      <name val="Arial"/>
      <family val="2"/>
    </font>
    <font>
      <sz val="8"/>
      <name val="Arial"/>
      <family val="2"/>
    </font>
    <font>
      <i/>
      <sz val="12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53" applyAlignment="1" applyProtection="1">
      <alignment/>
      <protection/>
    </xf>
    <xf numFmtId="0" fontId="7" fillId="0" borderId="0" xfId="53" applyAlignment="1" applyProtection="1">
      <alignment horizontal="center"/>
      <protection/>
    </xf>
    <xf numFmtId="2" fontId="7" fillId="0" borderId="0" xfId="53" applyNumberFormat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7" fillId="0" borderId="11" xfId="53" applyBorder="1" applyAlignment="1" applyProtection="1">
      <alignment/>
      <protection/>
    </xf>
    <xf numFmtId="0" fontId="9" fillId="0" borderId="0" xfId="0" applyFont="1" applyAlignment="1">
      <alignment/>
    </xf>
    <xf numFmtId="0" fontId="7" fillId="0" borderId="0" xfId="53" applyAlignment="1" applyProtection="1" quotePrefix="1">
      <alignment horizontal="left"/>
      <protection/>
    </xf>
    <xf numFmtId="172" fontId="0" fillId="0" borderId="0" xfId="0" applyNumberFormat="1" applyAlignment="1">
      <alignment/>
    </xf>
    <xf numFmtId="172" fontId="0" fillId="0" borderId="0" xfId="0" applyNumberFormat="1" applyFont="1" applyAlignment="1" quotePrefix="1">
      <alignment horizontal="left"/>
    </xf>
    <xf numFmtId="172" fontId="0" fillId="0" borderId="0" xfId="0" applyNumberFormat="1" applyAlignment="1" quotePrefix="1">
      <alignment horizontal="left"/>
    </xf>
    <xf numFmtId="172" fontId="5" fillId="0" borderId="0" xfId="0" applyNumberFormat="1" applyFont="1" applyAlignment="1" quotePrefix="1">
      <alignment horizontal="left"/>
    </xf>
    <xf numFmtId="172" fontId="0" fillId="0" borderId="0" xfId="0" applyNumberFormat="1" applyAlignment="1" quotePrefix="1">
      <alignment/>
    </xf>
    <xf numFmtId="172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4" fillId="0" borderId="0" xfId="0" applyFont="1" applyAlignment="1" quotePrefix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1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114</xdr:row>
      <xdr:rowOff>9525</xdr:rowOff>
    </xdr:from>
    <xdr:to>
      <xdr:col>6</xdr:col>
      <xdr:colOff>0</xdr:colOff>
      <xdr:row>114</xdr:row>
      <xdr:rowOff>9525</xdr:rowOff>
    </xdr:to>
    <xdr:sp>
      <xdr:nvSpPr>
        <xdr:cNvPr id="1" name="Line 1"/>
        <xdr:cNvSpPr>
          <a:spLocks/>
        </xdr:cNvSpPr>
      </xdr:nvSpPr>
      <xdr:spPr>
        <a:xfrm>
          <a:off x="2914650" y="196881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108</xdr:row>
      <xdr:rowOff>142875</xdr:rowOff>
    </xdr:from>
    <xdr:to>
      <xdr:col>6</xdr:col>
      <xdr:colOff>0</xdr:colOff>
      <xdr:row>114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200525" y="188499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6</xdr:col>
      <xdr:colOff>0</xdr:colOff>
      <xdr:row>114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905125" y="18859500"/>
          <a:ext cx="1295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6</xdr:col>
      <xdr:colOff>9525</xdr:colOff>
      <xdr:row>114</xdr:row>
      <xdr:rowOff>19050</xdr:rowOff>
    </xdr:to>
    <xdr:sp>
      <xdr:nvSpPr>
        <xdr:cNvPr id="4" name="Line 6"/>
        <xdr:cNvSpPr>
          <a:spLocks/>
        </xdr:cNvSpPr>
      </xdr:nvSpPr>
      <xdr:spPr>
        <a:xfrm flipV="1">
          <a:off x="2905125" y="18859500"/>
          <a:ext cx="13049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114</xdr:row>
      <xdr:rowOff>9525</xdr:rowOff>
    </xdr:from>
    <xdr:to>
      <xdr:col>5</xdr:col>
      <xdr:colOff>0</xdr:colOff>
      <xdr:row>114</xdr:row>
      <xdr:rowOff>9525</xdr:rowOff>
    </xdr:to>
    <xdr:sp>
      <xdr:nvSpPr>
        <xdr:cNvPr id="5" name="Line 8"/>
        <xdr:cNvSpPr>
          <a:spLocks/>
        </xdr:cNvSpPr>
      </xdr:nvSpPr>
      <xdr:spPr>
        <a:xfrm>
          <a:off x="2914650" y="196881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316</xdr:row>
      <xdr:rowOff>152400</xdr:rowOff>
    </xdr:from>
    <xdr:to>
      <xdr:col>6</xdr:col>
      <xdr:colOff>9525</xdr:colOff>
      <xdr:row>316</xdr:row>
      <xdr:rowOff>152400</xdr:rowOff>
    </xdr:to>
    <xdr:sp>
      <xdr:nvSpPr>
        <xdr:cNvPr id="6" name="Line 10"/>
        <xdr:cNvSpPr>
          <a:spLocks/>
        </xdr:cNvSpPr>
      </xdr:nvSpPr>
      <xdr:spPr>
        <a:xfrm>
          <a:off x="1228725" y="5265420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317</xdr:row>
      <xdr:rowOff>142875</xdr:rowOff>
    </xdr:from>
    <xdr:to>
      <xdr:col>6</xdr:col>
      <xdr:colOff>85725</xdr:colOff>
      <xdr:row>319</xdr:row>
      <xdr:rowOff>123825</xdr:rowOff>
    </xdr:to>
    <xdr:sp>
      <xdr:nvSpPr>
        <xdr:cNvPr id="7" name="Rectangle 12"/>
        <xdr:cNvSpPr>
          <a:spLocks/>
        </xdr:cNvSpPr>
      </xdr:nvSpPr>
      <xdr:spPr>
        <a:xfrm>
          <a:off x="4133850" y="52806600"/>
          <a:ext cx="1524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316</xdr:row>
      <xdr:rowOff>152400</xdr:rowOff>
    </xdr:from>
    <xdr:to>
      <xdr:col>6</xdr:col>
      <xdr:colOff>9525</xdr:colOff>
      <xdr:row>317</xdr:row>
      <xdr:rowOff>142875</xdr:rowOff>
    </xdr:to>
    <xdr:sp>
      <xdr:nvSpPr>
        <xdr:cNvPr id="8" name="Line 13"/>
        <xdr:cNvSpPr>
          <a:spLocks/>
        </xdr:cNvSpPr>
      </xdr:nvSpPr>
      <xdr:spPr>
        <a:xfrm>
          <a:off x="4210050" y="52654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319</xdr:row>
      <xdr:rowOff>133350</xdr:rowOff>
    </xdr:from>
    <xdr:to>
      <xdr:col>6</xdr:col>
      <xdr:colOff>0</xdr:colOff>
      <xdr:row>320</xdr:row>
      <xdr:rowOff>152400</xdr:rowOff>
    </xdr:to>
    <xdr:sp>
      <xdr:nvSpPr>
        <xdr:cNvPr id="9" name="Line 14"/>
        <xdr:cNvSpPr>
          <a:spLocks/>
        </xdr:cNvSpPr>
      </xdr:nvSpPr>
      <xdr:spPr>
        <a:xfrm>
          <a:off x="4200525" y="53120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321</xdr:row>
      <xdr:rowOff>0</xdr:rowOff>
    </xdr:from>
    <xdr:to>
      <xdr:col>6</xdr:col>
      <xdr:colOff>0</xdr:colOff>
      <xdr:row>321</xdr:row>
      <xdr:rowOff>0</xdr:rowOff>
    </xdr:to>
    <xdr:sp>
      <xdr:nvSpPr>
        <xdr:cNvPr id="10" name="Line 15"/>
        <xdr:cNvSpPr>
          <a:spLocks/>
        </xdr:cNvSpPr>
      </xdr:nvSpPr>
      <xdr:spPr>
        <a:xfrm>
          <a:off x="1219200" y="53311425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316</xdr:row>
      <xdr:rowOff>152400</xdr:rowOff>
    </xdr:from>
    <xdr:to>
      <xdr:col>4</xdr:col>
      <xdr:colOff>600075</xdr:colOff>
      <xdr:row>318</xdr:row>
      <xdr:rowOff>19050</xdr:rowOff>
    </xdr:to>
    <xdr:sp>
      <xdr:nvSpPr>
        <xdr:cNvPr id="11" name="Line 17"/>
        <xdr:cNvSpPr>
          <a:spLocks/>
        </xdr:cNvSpPr>
      </xdr:nvSpPr>
      <xdr:spPr>
        <a:xfrm>
          <a:off x="3505200" y="526542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317</xdr:row>
      <xdr:rowOff>9525</xdr:rowOff>
    </xdr:from>
    <xdr:to>
      <xdr:col>2</xdr:col>
      <xdr:colOff>9525</xdr:colOff>
      <xdr:row>320</xdr:row>
      <xdr:rowOff>142875</xdr:rowOff>
    </xdr:to>
    <xdr:sp>
      <xdr:nvSpPr>
        <xdr:cNvPr id="12" name="Line 19"/>
        <xdr:cNvSpPr>
          <a:spLocks/>
        </xdr:cNvSpPr>
      </xdr:nvSpPr>
      <xdr:spPr>
        <a:xfrm flipV="1">
          <a:off x="1228725" y="526732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316</xdr:row>
      <xdr:rowOff>152400</xdr:rowOff>
    </xdr:from>
    <xdr:to>
      <xdr:col>3</xdr:col>
      <xdr:colOff>104775</xdr:colOff>
      <xdr:row>316</xdr:row>
      <xdr:rowOff>152400</xdr:rowOff>
    </xdr:to>
    <xdr:sp>
      <xdr:nvSpPr>
        <xdr:cNvPr id="13" name="Line 20"/>
        <xdr:cNvSpPr>
          <a:spLocks/>
        </xdr:cNvSpPr>
      </xdr:nvSpPr>
      <xdr:spPr>
        <a:xfrm>
          <a:off x="1362075" y="52654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319</xdr:row>
      <xdr:rowOff>9525</xdr:rowOff>
    </xdr:from>
    <xdr:to>
      <xdr:col>4</xdr:col>
      <xdr:colOff>600075</xdr:colOff>
      <xdr:row>320</xdr:row>
      <xdr:rowOff>152400</xdr:rowOff>
    </xdr:to>
    <xdr:sp>
      <xdr:nvSpPr>
        <xdr:cNvPr id="14" name="Line 21"/>
        <xdr:cNvSpPr>
          <a:spLocks/>
        </xdr:cNvSpPr>
      </xdr:nvSpPr>
      <xdr:spPr>
        <a:xfrm>
          <a:off x="3505200" y="529971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317</xdr:row>
      <xdr:rowOff>0</xdr:rowOff>
    </xdr:from>
    <xdr:to>
      <xdr:col>5</xdr:col>
      <xdr:colOff>504825</xdr:colOff>
      <xdr:row>317</xdr:row>
      <xdr:rowOff>0</xdr:rowOff>
    </xdr:to>
    <xdr:sp>
      <xdr:nvSpPr>
        <xdr:cNvPr id="15" name="Line 22"/>
        <xdr:cNvSpPr>
          <a:spLocks/>
        </xdr:cNvSpPr>
      </xdr:nvSpPr>
      <xdr:spPr>
        <a:xfrm flipV="1">
          <a:off x="3552825" y="526637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331</xdr:row>
      <xdr:rowOff>0</xdr:rowOff>
    </xdr:from>
    <xdr:to>
      <xdr:col>6</xdr:col>
      <xdr:colOff>0</xdr:colOff>
      <xdr:row>331</xdr:row>
      <xdr:rowOff>0</xdr:rowOff>
    </xdr:to>
    <xdr:sp>
      <xdr:nvSpPr>
        <xdr:cNvPr id="16" name="Line 23"/>
        <xdr:cNvSpPr>
          <a:spLocks/>
        </xdr:cNvSpPr>
      </xdr:nvSpPr>
      <xdr:spPr>
        <a:xfrm>
          <a:off x="1876425" y="549306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331</xdr:row>
      <xdr:rowOff>0</xdr:rowOff>
    </xdr:from>
    <xdr:to>
      <xdr:col>6</xdr:col>
      <xdr:colOff>304800</xdr:colOff>
      <xdr:row>333</xdr:row>
      <xdr:rowOff>142875</xdr:rowOff>
    </xdr:to>
    <xdr:sp>
      <xdr:nvSpPr>
        <xdr:cNvPr id="17" name="Line 24"/>
        <xdr:cNvSpPr>
          <a:spLocks/>
        </xdr:cNvSpPr>
      </xdr:nvSpPr>
      <xdr:spPr>
        <a:xfrm>
          <a:off x="1866900" y="54930675"/>
          <a:ext cx="2638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330</xdr:row>
      <xdr:rowOff>123825</xdr:rowOff>
    </xdr:from>
    <xdr:to>
      <xdr:col>6</xdr:col>
      <xdr:colOff>314325</xdr:colOff>
      <xdr:row>333</xdr:row>
      <xdr:rowOff>142875</xdr:rowOff>
    </xdr:to>
    <xdr:sp>
      <xdr:nvSpPr>
        <xdr:cNvPr id="18" name="Line 25"/>
        <xdr:cNvSpPr>
          <a:spLocks/>
        </xdr:cNvSpPr>
      </xdr:nvSpPr>
      <xdr:spPr>
        <a:xfrm flipH="1" flipV="1">
          <a:off x="4191000" y="54892575"/>
          <a:ext cx="3238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324</xdr:row>
      <xdr:rowOff>57150</xdr:rowOff>
    </xdr:from>
    <xdr:to>
      <xdr:col>5</xdr:col>
      <xdr:colOff>600075</xdr:colOff>
      <xdr:row>330</xdr:row>
      <xdr:rowOff>133350</xdr:rowOff>
    </xdr:to>
    <xdr:sp>
      <xdr:nvSpPr>
        <xdr:cNvPr id="19" name="Line 27"/>
        <xdr:cNvSpPr>
          <a:spLocks/>
        </xdr:cNvSpPr>
      </xdr:nvSpPr>
      <xdr:spPr>
        <a:xfrm flipH="1" flipV="1">
          <a:off x="3371850" y="53854350"/>
          <a:ext cx="819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324</xdr:row>
      <xdr:rowOff>114300</xdr:rowOff>
    </xdr:from>
    <xdr:to>
      <xdr:col>4</xdr:col>
      <xdr:colOff>523875</xdr:colOff>
      <xdr:row>331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1895475" y="53911500"/>
          <a:ext cx="15335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325</xdr:row>
      <xdr:rowOff>57150</xdr:rowOff>
    </xdr:from>
    <xdr:to>
      <xdr:col>4</xdr:col>
      <xdr:colOff>523875</xdr:colOff>
      <xdr:row>325</xdr:row>
      <xdr:rowOff>142875</xdr:rowOff>
    </xdr:to>
    <xdr:sp>
      <xdr:nvSpPr>
        <xdr:cNvPr id="21" name="Line 29"/>
        <xdr:cNvSpPr>
          <a:spLocks/>
        </xdr:cNvSpPr>
      </xdr:nvSpPr>
      <xdr:spPr>
        <a:xfrm>
          <a:off x="3343275" y="54016275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325</xdr:row>
      <xdr:rowOff>104775</xdr:rowOff>
    </xdr:from>
    <xdr:to>
      <xdr:col>5</xdr:col>
      <xdr:colOff>0</xdr:colOff>
      <xdr:row>325</xdr:row>
      <xdr:rowOff>152400</xdr:rowOff>
    </xdr:to>
    <xdr:sp>
      <xdr:nvSpPr>
        <xdr:cNvPr id="22" name="Line 30"/>
        <xdr:cNvSpPr>
          <a:spLocks/>
        </xdr:cNvSpPr>
      </xdr:nvSpPr>
      <xdr:spPr>
        <a:xfrm flipV="1">
          <a:off x="3448050" y="54063900"/>
          <a:ext cx="1428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327</xdr:row>
      <xdr:rowOff>104775</xdr:rowOff>
    </xdr:from>
    <xdr:to>
      <xdr:col>4</xdr:col>
      <xdr:colOff>9525</xdr:colOff>
      <xdr:row>331</xdr:row>
      <xdr:rowOff>9525</xdr:rowOff>
    </xdr:to>
    <xdr:sp>
      <xdr:nvSpPr>
        <xdr:cNvPr id="23" name="Line 31"/>
        <xdr:cNvSpPr>
          <a:spLocks/>
        </xdr:cNvSpPr>
      </xdr:nvSpPr>
      <xdr:spPr>
        <a:xfrm flipV="1">
          <a:off x="1895475" y="54387750"/>
          <a:ext cx="10191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327</xdr:row>
      <xdr:rowOff>104775</xdr:rowOff>
    </xdr:from>
    <xdr:to>
      <xdr:col>4</xdr:col>
      <xdr:colOff>209550</xdr:colOff>
      <xdr:row>329</xdr:row>
      <xdr:rowOff>9525</xdr:rowOff>
    </xdr:to>
    <xdr:sp>
      <xdr:nvSpPr>
        <xdr:cNvPr id="24" name="Line 32"/>
        <xdr:cNvSpPr>
          <a:spLocks/>
        </xdr:cNvSpPr>
      </xdr:nvSpPr>
      <xdr:spPr>
        <a:xfrm>
          <a:off x="2924175" y="54387750"/>
          <a:ext cx="1905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331</xdr:row>
      <xdr:rowOff>0</xdr:rowOff>
    </xdr:from>
    <xdr:to>
      <xdr:col>3</xdr:col>
      <xdr:colOff>257175</xdr:colOff>
      <xdr:row>332</xdr:row>
      <xdr:rowOff>66675</xdr:rowOff>
    </xdr:to>
    <xdr:sp>
      <xdr:nvSpPr>
        <xdr:cNvPr id="25" name="Line 34"/>
        <xdr:cNvSpPr>
          <a:spLocks/>
        </xdr:cNvSpPr>
      </xdr:nvSpPr>
      <xdr:spPr>
        <a:xfrm>
          <a:off x="1895475" y="5493067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329</xdr:row>
      <xdr:rowOff>0</xdr:rowOff>
    </xdr:from>
    <xdr:to>
      <xdr:col>4</xdr:col>
      <xdr:colOff>209550</xdr:colOff>
      <xdr:row>332</xdr:row>
      <xdr:rowOff>57150</xdr:rowOff>
    </xdr:to>
    <xdr:sp>
      <xdr:nvSpPr>
        <xdr:cNvPr id="26" name="Line 35"/>
        <xdr:cNvSpPr>
          <a:spLocks/>
        </xdr:cNvSpPr>
      </xdr:nvSpPr>
      <xdr:spPr>
        <a:xfrm flipV="1">
          <a:off x="2143125" y="54606825"/>
          <a:ext cx="971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329</xdr:row>
      <xdr:rowOff>9525</xdr:rowOff>
    </xdr:from>
    <xdr:to>
      <xdr:col>4</xdr:col>
      <xdr:colOff>200025</xdr:colOff>
      <xdr:row>331</xdr:row>
      <xdr:rowOff>9525</xdr:rowOff>
    </xdr:to>
    <xdr:sp>
      <xdr:nvSpPr>
        <xdr:cNvPr id="27" name="Line 36"/>
        <xdr:cNvSpPr>
          <a:spLocks/>
        </xdr:cNvSpPr>
      </xdr:nvSpPr>
      <xdr:spPr>
        <a:xfrm flipV="1">
          <a:off x="1924050" y="54616350"/>
          <a:ext cx="1181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330</xdr:row>
      <xdr:rowOff>152400</xdr:rowOff>
    </xdr:from>
    <xdr:to>
      <xdr:col>4</xdr:col>
      <xdr:colOff>114300</xdr:colOff>
      <xdr:row>332</xdr:row>
      <xdr:rowOff>9525</xdr:rowOff>
    </xdr:to>
    <xdr:sp>
      <xdr:nvSpPr>
        <xdr:cNvPr id="28" name="Arc 37"/>
        <xdr:cNvSpPr>
          <a:spLocks/>
        </xdr:cNvSpPr>
      </xdr:nvSpPr>
      <xdr:spPr>
        <a:xfrm flipV="1">
          <a:off x="2952750" y="54921150"/>
          <a:ext cx="66675" cy="1809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329</xdr:row>
      <xdr:rowOff>142875</xdr:rowOff>
    </xdr:from>
    <xdr:to>
      <xdr:col>3</xdr:col>
      <xdr:colOff>228600</xdr:colOff>
      <xdr:row>329</xdr:row>
      <xdr:rowOff>152400</xdr:rowOff>
    </xdr:to>
    <xdr:sp>
      <xdr:nvSpPr>
        <xdr:cNvPr id="29" name="Arc 38"/>
        <xdr:cNvSpPr>
          <a:spLocks/>
        </xdr:cNvSpPr>
      </xdr:nvSpPr>
      <xdr:spPr>
        <a:xfrm flipH="1" flipV="1">
          <a:off x="2095500" y="54749700"/>
          <a:ext cx="0" cy="95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329</xdr:row>
      <xdr:rowOff>133350</xdr:rowOff>
    </xdr:from>
    <xdr:to>
      <xdr:col>3</xdr:col>
      <xdr:colOff>219075</xdr:colOff>
      <xdr:row>329</xdr:row>
      <xdr:rowOff>142875</xdr:rowOff>
    </xdr:to>
    <xdr:sp>
      <xdr:nvSpPr>
        <xdr:cNvPr id="30" name="Arc 40"/>
        <xdr:cNvSpPr>
          <a:spLocks/>
        </xdr:cNvSpPr>
      </xdr:nvSpPr>
      <xdr:spPr>
        <a:xfrm flipH="1" flipV="1">
          <a:off x="2085975" y="54740175"/>
          <a:ext cx="0" cy="95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329</xdr:row>
      <xdr:rowOff>123825</xdr:rowOff>
    </xdr:from>
    <xdr:to>
      <xdr:col>3</xdr:col>
      <xdr:colOff>371475</xdr:colOff>
      <xdr:row>331</xdr:row>
      <xdr:rowOff>9525</xdr:rowOff>
    </xdr:to>
    <xdr:sp>
      <xdr:nvSpPr>
        <xdr:cNvPr id="31" name="Arc 43"/>
        <xdr:cNvSpPr>
          <a:spLocks/>
        </xdr:cNvSpPr>
      </xdr:nvSpPr>
      <xdr:spPr>
        <a:xfrm>
          <a:off x="2133600" y="54730650"/>
          <a:ext cx="104775" cy="2095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329</xdr:row>
      <xdr:rowOff>152400</xdr:rowOff>
    </xdr:from>
    <xdr:to>
      <xdr:col>3</xdr:col>
      <xdr:colOff>514350</xdr:colOff>
      <xdr:row>329</xdr:row>
      <xdr:rowOff>152400</xdr:rowOff>
    </xdr:to>
    <xdr:sp>
      <xdr:nvSpPr>
        <xdr:cNvPr id="32" name="Arc 44"/>
        <xdr:cNvSpPr>
          <a:spLocks/>
        </xdr:cNvSpPr>
      </xdr:nvSpPr>
      <xdr:spPr>
        <a:xfrm flipH="1" flipV="1">
          <a:off x="2371725" y="54759225"/>
          <a:ext cx="9525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329</xdr:row>
      <xdr:rowOff>152400</xdr:rowOff>
    </xdr:from>
    <xdr:to>
      <xdr:col>3</xdr:col>
      <xdr:colOff>523875</xdr:colOff>
      <xdr:row>329</xdr:row>
      <xdr:rowOff>152400</xdr:rowOff>
    </xdr:to>
    <xdr:sp>
      <xdr:nvSpPr>
        <xdr:cNvPr id="33" name="Arc 45"/>
        <xdr:cNvSpPr>
          <a:spLocks/>
        </xdr:cNvSpPr>
      </xdr:nvSpPr>
      <xdr:spPr>
        <a:xfrm flipH="1" flipV="1">
          <a:off x="2371725" y="54759225"/>
          <a:ext cx="1905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329</xdr:row>
      <xdr:rowOff>152400</xdr:rowOff>
    </xdr:from>
    <xdr:to>
      <xdr:col>4</xdr:col>
      <xdr:colOff>238125</xdr:colOff>
      <xdr:row>331</xdr:row>
      <xdr:rowOff>38100</xdr:rowOff>
    </xdr:to>
    <xdr:sp>
      <xdr:nvSpPr>
        <xdr:cNvPr id="34" name="Arc 50"/>
        <xdr:cNvSpPr>
          <a:spLocks/>
        </xdr:cNvSpPr>
      </xdr:nvSpPr>
      <xdr:spPr>
        <a:xfrm>
          <a:off x="2590800" y="54759225"/>
          <a:ext cx="552450" cy="2095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330</xdr:row>
      <xdr:rowOff>142875</xdr:rowOff>
    </xdr:from>
    <xdr:to>
      <xdr:col>3</xdr:col>
      <xdr:colOff>219075</xdr:colOff>
      <xdr:row>331</xdr:row>
      <xdr:rowOff>123825</xdr:rowOff>
    </xdr:to>
    <xdr:sp>
      <xdr:nvSpPr>
        <xdr:cNvPr id="35" name="Arc 51"/>
        <xdr:cNvSpPr>
          <a:spLocks/>
        </xdr:cNvSpPr>
      </xdr:nvSpPr>
      <xdr:spPr>
        <a:xfrm flipV="1">
          <a:off x="1962150" y="54911625"/>
          <a:ext cx="123825" cy="1428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383</xdr:row>
      <xdr:rowOff>152400</xdr:rowOff>
    </xdr:from>
    <xdr:to>
      <xdr:col>6</xdr:col>
      <xdr:colOff>0</xdr:colOff>
      <xdr:row>383</xdr:row>
      <xdr:rowOff>152400</xdr:rowOff>
    </xdr:to>
    <xdr:sp>
      <xdr:nvSpPr>
        <xdr:cNvPr id="36" name="Line 52"/>
        <xdr:cNvSpPr>
          <a:spLocks/>
        </xdr:cNvSpPr>
      </xdr:nvSpPr>
      <xdr:spPr>
        <a:xfrm>
          <a:off x="1866900" y="6352222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383</xdr:row>
      <xdr:rowOff>152400</xdr:rowOff>
    </xdr:from>
    <xdr:to>
      <xdr:col>6</xdr:col>
      <xdr:colOff>9525</xdr:colOff>
      <xdr:row>386</xdr:row>
      <xdr:rowOff>133350</xdr:rowOff>
    </xdr:to>
    <xdr:sp>
      <xdr:nvSpPr>
        <xdr:cNvPr id="37" name="Line 53"/>
        <xdr:cNvSpPr>
          <a:spLocks/>
        </xdr:cNvSpPr>
      </xdr:nvSpPr>
      <xdr:spPr>
        <a:xfrm>
          <a:off x="1876425" y="63522225"/>
          <a:ext cx="23336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379</xdr:row>
      <xdr:rowOff>85725</xdr:rowOff>
    </xdr:from>
    <xdr:to>
      <xdr:col>4</xdr:col>
      <xdr:colOff>104775</xdr:colOff>
      <xdr:row>383</xdr:row>
      <xdr:rowOff>152400</xdr:rowOff>
    </xdr:to>
    <xdr:sp>
      <xdr:nvSpPr>
        <xdr:cNvPr id="38" name="Line 54"/>
        <xdr:cNvSpPr>
          <a:spLocks/>
        </xdr:cNvSpPr>
      </xdr:nvSpPr>
      <xdr:spPr>
        <a:xfrm flipV="1">
          <a:off x="1819275" y="62807850"/>
          <a:ext cx="11906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385</xdr:row>
      <xdr:rowOff>76200</xdr:rowOff>
    </xdr:from>
    <xdr:to>
      <xdr:col>6</xdr:col>
      <xdr:colOff>200025</xdr:colOff>
      <xdr:row>386</xdr:row>
      <xdr:rowOff>142875</xdr:rowOff>
    </xdr:to>
    <xdr:sp>
      <xdr:nvSpPr>
        <xdr:cNvPr id="39" name="Line 55"/>
        <xdr:cNvSpPr>
          <a:spLocks/>
        </xdr:cNvSpPr>
      </xdr:nvSpPr>
      <xdr:spPr>
        <a:xfrm flipV="1">
          <a:off x="4200525" y="63769875"/>
          <a:ext cx="200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383</xdr:row>
      <xdr:rowOff>142875</xdr:rowOff>
    </xdr:from>
    <xdr:to>
      <xdr:col>6</xdr:col>
      <xdr:colOff>209550</xdr:colOff>
      <xdr:row>385</xdr:row>
      <xdr:rowOff>66675</xdr:rowOff>
    </xdr:to>
    <xdr:sp>
      <xdr:nvSpPr>
        <xdr:cNvPr id="40" name="Line 56"/>
        <xdr:cNvSpPr>
          <a:spLocks/>
        </xdr:cNvSpPr>
      </xdr:nvSpPr>
      <xdr:spPr>
        <a:xfrm flipH="1" flipV="1">
          <a:off x="4191000" y="63512700"/>
          <a:ext cx="2190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377</xdr:row>
      <xdr:rowOff>95250</xdr:rowOff>
    </xdr:from>
    <xdr:to>
      <xdr:col>4</xdr:col>
      <xdr:colOff>409575</xdr:colOff>
      <xdr:row>379</xdr:row>
      <xdr:rowOff>76200</xdr:rowOff>
    </xdr:to>
    <xdr:sp>
      <xdr:nvSpPr>
        <xdr:cNvPr id="41" name="Line 57"/>
        <xdr:cNvSpPr>
          <a:spLocks/>
        </xdr:cNvSpPr>
      </xdr:nvSpPr>
      <xdr:spPr>
        <a:xfrm flipV="1">
          <a:off x="3009900" y="62493525"/>
          <a:ext cx="304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378</xdr:row>
      <xdr:rowOff>85725</xdr:rowOff>
    </xdr:from>
    <xdr:to>
      <xdr:col>6</xdr:col>
      <xdr:colOff>9525</xdr:colOff>
      <xdr:row>383</xdr:row>
      <xdr:rowOff>133350</xdr:rowOff>
    </xdr:to>
    <xdr:sp>
      <xdr:nvSpPr>
        <xdr:cNvPr id="42" name="Line 58"/>
        <xdr:cNvSpPr>
          <a:spLocks/>
        </xdr:cNvSpPr>
      </xdr:nvSpPr>
      <xdr:spPr>
        <a:xfrm flipH="1" flipV="1">
          <a:off x="3133725" y="62645925"/>
          <a:ext cx="10763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380</xdr:row>
      <xdr:rowOff>19050</xdr:rowOff>
    </xdr:from>
    <xdr:to>
      <xdr:col>6</xdr:col>
      <xdr:colOff>19050</xdr:colOff>
      <xdr:row>386</xdr:row>
      <xdr:rowOff>133350</xdr:rowOff>
    </xdr:to>
    <xdr:sp>
      <xdr:nvSpPr>
        <xdr:cNvPr id="43" name="Line 59"/>
        <xdr:cNvSpPr>
          <a:spLocks/>
        </xdr:cNvSpPr>
      </xdr:nvSpPr>
      <xdr:spPr>
        <a:xfrm flipH="1" flipV="1">
          <a:off x="2466975" y="62903100"/>
          <a:ext cx="17526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382</xdr:row>
      <xdr:rowOff>85725</xdr:rowOff>
    </xdr:from>
    <xdr:to>
      <xdr:col>3</xdr:col>
      <xdr:colOff>228600</xdr:colOff>
      <xdr:row>382</xdr:row>
      <xdr:rowOff>95250</xdr:rowOff>
    </xdr:to>
    <xdr:sp>
      <xdr:nvSpPr>
        <xdr:cNvPr id="44" name="Arc 60"/>
        <xdr:cNvSpPr>
          <a:spLocks/>
        </xdr:cNvSpPr>
      </xdr:nvSpPr>
      <xdr:spPr>
        <a:xfrm flipH="1" flipV="1">
          <a:off x="2095500" y="63293625"/>
          <a:ext cx="0" cy="95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382</xdr:row>
      <xdr:rowOff>66675</xdr:rowOff>
    </xdr:from>
    <xdr:to>
      <xdr:col>3</xdr:col>
      <xdr:colOff>552450</xdr:colOff>
      <xdr:row>383</xdr:row>
      <xdr:rowOff>123825</xdr:rowOff>
    </xdr:to>
    <xdr:sp>
      <xdr:nvSpPr>
        <xdr:cNvPr id="45" name="Arc 63"/>
        <xdr:cNvSpPr>
          <a:spLocks/>
        </xdr:cNvSpPr>
      </xdr:nvSpPr>
      <xdr:spPr>
        <a:xfrm>
          <a:off x="2295525" y="63274575"/>
          <a:ext cx="123825" cy="2190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383</xdr:row>
      <xdr:rowOff>152400</xdr:rowOff>
    </xdr:from>
    <xdr:to>
      <xdr:col>3</xdr:col>
      <xdr:colOff>447675</xdr:colOff>
      <xdr:row>384</xdr:row>
      <xdr:rowOff>95250</xdr:rowOff>
    </xdr:to>
    <xdr:sp>
      <xdr:nvSpPr>
        <xdr:cNvPr id="46" name="Arc 64"/>
        <xdr:cNvSpPr>
          <a:spLocks/>
        </xdr:cNvSpPr>
      </xdr:nvSpPr>
      <xdr:spPr>
        <a:xfrm flipH="1" flipV="1">
          <a:off x="2314575" y="63522225"/>
          <a:ext cx="0" cy="1047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381</xdr:row>
      <xdr:rowOff>133350</xdr:rowOff>
    </xdr:from>
    <xdr:to>
      <xdr:col>3</xdr:col>
      <xdr:colOff>847725</xdr:colOff>
      <xdr:row>384</xdr:row>
      <xdr:rowOff>142875</xdr:rowOff>
    </xdr:to>
    <xdr:sp>
      <xdr:nvSpPr>
        <xdr:cNvPr id="47" name="Arc 65"/>
        <xdr:cNvSpPr>
          <a:spLocks/>
        </xdr:cNvSpPr>
      </xdr:nvSpPr>
      <xdr:spPr>
        <a:xfrm>
          <a:off x="2438400" y="63179325"/>
          <a:ext cx="276225" cy="4953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427</xdr:row>
      <xdr:rowOff>152400</xdr:rowOff>
    </xdr:from>
    <xdr:to>
      <xdr:col>5</xdr:col>
      <xdr:colOff>333375</xdr:colOff>
      <xdr:row>427</xdr:row>
      <xdr:rowOff>152400</xdr:rowOff>
    </xdr:to>
    <xdr:sp>
      <xdr:nvSpPr>
        <xdr:cNvPr id="48" name="Line 72"/>
        <xdr:cNvSpPr>
          <a:spLocks/>
        </xdr:cNvSpPr>
      </xdr:nvSpPr>
      <xdr:spPr>
        <a:xfrm>
          <a:off x="1819275" y="7066597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428</xdr:row>
      <xdr:rowOff>0</xdr:rowOff>
    </xdr:from>
    <xdr:to>
      <xdr:col>5</xdr:col>
      <xdr:colOff>361950</xdr:colOff>
      <xdr:row>431</xdr:row>
      <xdr:rowOff>9525</xdr:rowOff>
    </xdr:to>
    <xdr:sp>
      <xdr:nvSpPr>
        <xdr:cNvPr id="49" name="Line 74"/>
        <xdr:cNvSpPr>
          <a:spLocks/>
        </xdr:cNvSpPr>
      </xdr:nvSpPr>
      <xdr:spPr>
        <a:xfrm>
          <a:off x="1819275" y="70675500"/>
          <a:ext cx="2133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428</xdr:row>
      <xdr:rowOff>0</xdr:rowOff>
    </xdr:from>
    <xdr:to>
      <xdr:col>5</xdr:col>
      <xdr:colOff>352425</xdr:colOff>
      <xdr:row>431</xdr:row>
      <xdr:rowOff>0</xdr:rowOff>
    </xdr:to>
    <xdr:sp>
      <xdr:nvSpPr>
        <xdr:cNvPr id="50" name="Line 75"/>
        <xdr:cNvSpPr>
          <a:spLocks/>
        </xdr:cNvSpPr>
      </xdr:nvSpPr>
      <xdr:spPr>
        <a:xfrm flipV="1">
          <a:off x="3943350" y="70675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428</xdr:row>
      <xdr:rowOff>0</xdr:rowOff>
    </xdr:from>
    <xdr:to>
      <xdr:col>4</xdr:col>
      <xdr:colOff>38100</xdr:colOff>
      <xdr:row>428</xdr:row>
      <xdr:rowOff>0</xdr:rowOff>
    </xdr:to>
    <xdr:sp>
      <xdr:nvSpPr>
        <xdr:cNvPr id="51" name="Line 76"/>
        <xdr:cNvSpPr>
          <a:spLocks/>
        </xdr:cNvSpPr>
      </xdr:nvSpPr>
      <xdr:spPr>
        <a:xfrm>
          <a:off x="1809750" y="706755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213</xdr:row>
      <xdr:rowOff>0</xdr:rowOff>
    </xdr:from>
    <xdr:to>
      <xdr:col>4</xdr:col>
      <xdr:colOff>9525</xdr:colOff>
      <xdr:row>213</xdr:row>
      <xdr:rowOff>0</xdr:rowOff>
    </xdr:to>
    <xdr:sp>
      <xdr:nvSpPr>
        <xdr:cNvPr id="52" name="Line 77"/>
        <xdr:cNvSpPr>
          <a:spLocks/>
        </xdr:cNvSpPr>
      </xdr:nvSpPr>
      <xdr:spPr>
        <a:xfrm>
          <a:off x="1228725" y="357663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213</xdr:row>
      <xdr:rowOff>0</xdr:rowOff>
    </xdr:from>
    <xdr:to>
      <xdr:col>4</xdr:col>
      <xdr:colOff>0</xdr:colOff>
      <xdr:row>219</xdr:row>
      <xdr:rowOff>19050</xdr:rowOff>
    </xdr:to>
    <xdr:sp>
      <xdr:nvSpPr>
        <xdr:cNvPr id="53" name="Line 78"/>
        <xdr:cNvSpPr>
          <a:spLocks/>
        </xdr:cNvSpPr>
      </xdr:nvSpPr>
      <xdr:spPr>
        <a:xfrm>
          <a:off x="2905125" y="3576637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213</xdr:row>
      <xdr:rowOff>0</xdr:rowOff>
    </xdr:from>
    <xdr:to>
      <xdr:col>5</xdr:col>
      <xdr:colOff>9525</xdr:colOff>
      <xdr:row>213</xdr:row>
      <xdr:rowOff>0</xdr:rowOff>
    </xdr:to>
    <xdr:sp>
      <xdr:nvSpPr>
        <xdr:cNvPr id="54" name="Line 79"/>
        <xdr:cNvSpPr>
          <a:spLocks/>
        </xdr:cNvSpPr>
      </xdr:nvSpPr>
      <xdr:spPr>
        <a:xfrm>
          <a:off x="2905125" y="357663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213</xdr:row>
      <xdr:rowOff>0</xdr:rowOff>
    </xdr:from>
    <xdr:to>
      <xdr:col>4</xdr:col>
      <xdr:colOff>0</xdr:colOff>
      <xdr:row>219</xdr:row>
      <xdr:rowOff>0</xdr:rowOff>
    </xdr:to>
    <xdr:sp>
      <xdr:nvSpPr>
        <xdr:cNvPr id="55" name="Line 80"/>
        <xdr:cNvSpPr>
          <a:spLocks/>
        </xdr:cNvSpPr>
      </xdr:nvSpPr>
      <xdr:spPr>
        <a:xfrm>
          <a:off x="1219200" y="35766375"/>
          <a:ext cx="16859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208</xdr:row>
      <xdr:rowOff>0</xdr:rowOff>
    </xdr:from>
    <xdr:to>
      <xdr:col>5</xdr:col>
      <xdr:colOff>9525</xdr:colOff>
      <xdr:row>213</xdr:row>
      <xdr:rowOff>0</xdr:rowOff>
    </xdr:to>
    <xdr:sp>
      <xdr:nvSpPr>
        <xdr:cNvPr id="56" name="Line 81"/>
        <xdr:cNvSpPr>
          <a:spLocks/>
        </xdr:cNvSpPr>
      </xdr:nvSpPr>
      <xdr:spPr>
        <a:xfrm flipV="1">
          <a:off x="3600450" y="349567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208</xdr:row>
      <xdr:rowOff>0</xdr:rowOff>
    </xdr:from>
    <xdr:to>
      <xdr:col>5</xdr:col>
      <xdr:colOff>9525</xdr:colOff>
      <xdr:row>213</xdr:row>
      <xdr:rowOff>0</xdr:rowOff>
    </xdr:to>
    <xdr:sp>
      <xdr:nvSpPr>
        <xdr:cNvPr id="57" name="Line 82"/>
        <xdr:cNvSpPr>
          <a:spLocks/>
        </xdr:cNvSpPr>
      </xdr:nvSpPr>
      <xdr:spPr>
        <a:xfrm flipV="1">
          <a:off x="2905125" y="34956750"/>
          <a:ext cx="6953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213</xdr:row>
      <xdr:rowOff>9525</xdr:rowOff>
    </xdr:from>
    <xdr:to>
      <xdr:col>2</xdr:col>
      <xdr:colOff>276225</xdr:colOff>
      <xdr:row>214</xdr:row>
      <xdr:rowOff>0</xdr:rowOff>
    </xdr:to>
    <xdr:sp>
      <xdr:nvSpPr>
        <xdr:cNvPr id="58" name="Arc 83"/>
        <xdr:cNvSpPr>
          <a:spLocks/>
        </xdr:cNvSpPr>
      </xdr:nvSpPr>
      <xdr:spPr>
        <a:xfrm flipV="1">
          <a:off x="1457325" y="35775900"/>
          <a:ext cx="38100" cy="1524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146</xdr:row>
      <xdr:rowOff>0</xdr:rowOff>
    </xdr:from>
    <xdr:to>
      <xdr:col>2</xdr:col>
      <xdr:colOff>504825</xdr:colOff>
      <xdr:row>147</xdr:row>
      <xdr:rowOff>0</xdr:rowOff>
    </xdr:to>
    <xdr:sp>
      <xdr:nvSpPr>
        <xdr:cNvPr id="59" name="Oval 87"/>
        <xdr:cNvSpPr>
          <a:spLocks/>
        </xdr:cNvSpPr>
      </xdr:nvSpPr>
      <xdr:spPr>
        <a:xfrm>
          <a:off x="1571625" y="24879300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146</xdr:row>
      <xdr:rowOff>0</xdr:rowOff>
    </xdr:from>
    <xdr:to>
      <xdr:col>5</xdr:col>
      <xdr:colOff>276225</xdr:colOff>
      <xdr:row>147</xdr:row>
      <xdr:rowOff>0</xdr:rowOff>
    </xdr:to>
    <xdr:sp>
      <xdr:nvSpPr>
        <xdr:cNvPr id="60" name="Oval 88"/>
        <xdr:cNvSpPr>
          <a:spLocks/>
        </xdr:cNvSpPr>
      </xdr:nvSpPr>
      <xdr:spPr>
        <a:xfrm>
          <a:off x="3714750" y="24879300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147</xdr:row>
      <xdr:rowOff>0</xdr:rowOff>
    </xdr:from>
    <xdr:to>
      <xdr:col>2</xdr:col>
      <xdr:colOff>428625</xdr:colOff>
      <xdr:row>148</xdr:row>
      <xdr:rowOff>9525</xdr:rowOff>
    </xdr:to>
    <xdr:sp>
      <xdr:nvSpPr>
        <xdr:cNvPr id="61" name="Line 91"/>
        <xdr:cNvSpPr>
          <a:spLocks/>
        </xdr:cNvSpPr>
      </xdr:nvSpPr>
      <xdr:spPr>
        <a:xfrm>
          <a:off x="1647825" y="250412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147</xdr:row>
      <xdr:rowOff>9525</xdr:rowOff>
    </xdr:from>
    <xdr:to>
      <xdr:col>5</xdr:col>
      <xdr:colOff>219075</xdr:colOff>
      <xdr:row>148</xdr:row>
      <xdr:rowOff>0</xdr:rowOff>
    </xdr:to>
    <xdr:sp>
      <xdr:nvSpPr>
        <xdr:cNvPr id="62" name="Line 92"/>
        <xdr:cNvSpPr>
          <a:spLocks/>
        </xdr:cNvSpPr>
      </xdr:nvSpPr>
      <xdr:spPr>
        <a:xfrm>
          <a:off x="3810000" y="25050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144</xdr:row>
      <xdr:rowOff>152400</xdr:rowOff>
    </xdr:from>
    <xdr:to>
      <xdr:col>2</xdr:col>
      <xdr:colOff>428625</xdr:colOff>
      <xdr:row>145</xdr:row>
      <xdr:rowOff>142875</xdr:rowOff>
    </xdr:to>
    <xdr:sp>
      <xdr:nvSpPr>
        <xdr:cNvPr id="63" name="Line 93"/>
        <xdr:cNvSpPr>
          <a:spLocks/>
        </xdr:cNvSpPr>
      </xdr:nvSpPr>
      <xdr:spPr>
        <a:xfrm flipV="1">
          <a:off x="1647825" y="24707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145</xdr:row>
      <xdr:rowOff>9525</xdr:rowOff>
    </xdr:from>
    <xdr:to>
      <xdr:col>5</xdr:col>
      <xdr:colOff>209550</xdr:colOff>
      <xdr:row>146</xdr:row>
      <xdr:rowOff>0</xdr:rowOff>
    </xdr:to>
    <xdr:sp>
      <xdr:nvSpPr>
        <xdr:cNvPr id="64" name="Line 94"/>
        <xdr:cNvSpPr>
          <a:spLocks/>
        </xdr:cNvSpPr>
      </xdr:nvSpPr>
      <xdr:spPr>
        <a:xfrm flipV="1">
          <a:off x="3800475" y="24726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147</xdr:row>
      <xdr:rowOff>152400</xdr:rowOff>
    </xdr:from>
    <xdr:to>
      <xdr:col>5</xdr:col>
      <xdr:colOff>228600</xdr:colOff>
      <xdr:row>147</xdr:row>
      <xdr:rowOff>152400</xdr:rowOff>
    </xdr:to>
    <xdr:sp>
      <xdr:nvSpPr>
        <xdr:cNvPr id="65" name="Line 98"/>
        <xdr:cNvSpPr>
          <a:spLocks/>
        </xdr:cNvSpPr>
      </xdr:nvSpPr>
      <xdr:spPr>
        <a:xfrm>
          <a:off x="1638300" y="2519362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145</xdr:row>
      <xdr:rowOff>0</xdr:rowOff>
    </xdr:from>
    <xdr:to>
      <xdr:col>3</xdr:col>
      <xdr:colOff>600075</xdr:colOff>
      <xdr:row>145</xdr:row>
      <xdr:rowOff>28575</xdr:rowOff>
    </xdr:to>
    <xdr:sp>
      <xdr:nvSpPr>
        <xdr:cNvPr id="66" name="Oval 99"/>
        <xdr:cNvSpPr>
          <a:spLocks/>
        </xdr:cNvSpPr>
      </xdr:nvSpPr>
      <xdr:spPr>
        <a:xfrm>
          <a:off x="2466975" y="24717375"/>
          <a:ext cx="0" cy="28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144</xdr:row>
      <xdr:rowOff>152400</xdr:rowOff>
    </xdr:from>
    <xdr:to>
      <xdr:col>4</xdr:col>
      <xdr:colOff>0</xdr:colOff>
      <xdr:row>145</xdr:row>
      <xdr:rowOff>19050</xdr:rowOff>
    </xdr:to>
    <xdr:sp>
      <xdr:nvSpPr>
        <xdr:cNvPr id="67" name="Oval 100"/>
        <xdr:cNvSpPr>
          <a:spLocks/>
        </xdr:cNvSpPr>
      </xdr:nvSpPr>
      <xdr:spPr>
        <a:xfrm>
          <a:off x="2905125" y="24707850"/>
          <a:ext cx="0" cy="28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145</xdr:row>
      <xdr:rowOff>9525</xdr:rowOff>
    </xdr:from>
    <xdr:to>
      <xdr:col>3</xdr:col>
      <xdr:colOff>809625</xdr:colOff>
      <xdr:row>147</xdr:row>
      <xdr:rowOff>85725</xdr:rowOff>
    </xdr:to>
    <xdr:sp>
      <xdr:nvSpPr>
        <xdr:cNvPr id="68" name="Line 102"/>
        <xdr:cNvSpPr>
          <a:spLocks/>
        </xdr:cNvSpPr>
      </xdr:nvSpPr>
      <xdr:spPr>
        <a:xfrm flipV="1">
          <a:off x="2676525" y="247269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156</xdr:row>
      <xdr:rowOff>19050</xdr:rowOff>
    </xdr:from>
    <xdr:to>
      <xdr:col>3</xdr:col>
      <xdr:colOff>590550</xdr:colOff>
      <xdr:row>156</xdr:row>
      <xdr:rowOff>133350</xdr:rowOff>
    </xdr:to>
    <xdr:sp>
      <xdr:nvSpPr>
        <xdr:cNvPr id="69" name="Line 103"/>
        <xdr:cNvSpPr>
          <a:spLocks/>
        </xdr:cNvSpPr>
      </xdr:nvSpPr>
      <xdr:spPr>
        <a:xfrm flipH="1">
          <a:off x="2390775" y="2651760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156</xdr:row>
      <xdr:rowOff>142875</xdr:rowOff>
    </xdr:from>
    <xdr:to>
      <xdr:col>4</xdr:col>
      <xdr:colOff>28575</xdr:colOff>
      <xdr:row>156</xdr:row>
      <xdr:rowOff>142875</xdr:rowOff>
    </xdr:to>
    <xdr:sp>
      <xdr:nvSpPr>
        <xdr:cNvPr id="70" name="Line 104"/>
        <xdr:cNvSpPr>
          <a:spLocks/>
        </xdr:cNvSpPr>
      </xdr:nvSpPr>
      <xdr:spPr>
        <a:xfrm>
          <a:off x="2409825" y="266414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146</xdr:row>
      <xdr:rowOff>19050</xdr:rowOff>
    </xdr:from>
    <xdr:to>
      <xdr:col>7</xdr:col>
      <xdr:colOff>0</xdr:colOff>
      <xdr:row>146</xdr:row>
      <xdr:rowOff>123825</xdr:rowOff>
    </xdr:to>
    <xdr:sp>
      <xdr:nvSpPr>
        <xdr:cNvPr id="71" name="Line 105"/>
        <xdr:cNvSpPr>
          <a:spLocks/>
        </xdr:cNvSpPr>
      </xdr:nvSpPr>
      <xdr:spPr>
        <a:xfrm flipH="1">
          <a:off x="4752975" y="24898350"/>
          <a:ext cx="571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146</xdr:row>
      <xdr:rowOff>123825</xdr:rowOff>
    </xdr:from>
    <xdr:to>
      <xdr:col>7</xdr:col>
      <xdr:colOff>85725</xdr:colOff>
      <xdr:row>146</xdr:row>
      <xdr:rowOff>123825</xdr:rowOff>
    </xdr:to>
    <xdr:sp>
      <xdr:nvSpPr>
        <xdr:cNvPr id="72" name="Line 107"/>
        <xdr:cNvSpPr>
          <a:spLocks/>
        </xdr:cNvSpPr>
      </xdr:nvSpPr>
      <xdr:spPr>
        <a:xfrm>
          <a:off x="4752975" y="2500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151</xdr:row>
      <xdr:rowOff>0</xdr:rowOff>
    </xdr:from>
    <xdr:to>
      <xdr:col>5</xdr:col>
      <xdr:colOff>0</xdr:colOff>
      <xdr:row>151</xdr:row>
      <xdr:rowOff>0</xdr:rowOff>
    </xdr:to>
    <xdr:sp>
      <xdr:nvSpPr>
        <xdr:cNvPr id="73" name="Line 109"/>
        <xdr:cNvSpPr>
          <a:spLocks/>
        </xdr:cNvSpPr>
      </xdr:nvSpPr>
      <xdr:spPr>
        <a:xfrm>
          <a:off x="1866900" y="25688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151</xdr:row>
      <xdr:rowOff>9525</xdr:rowOff>
    </xdr:from>
    <xdr:to>
      <xdr:col>4</xdr:col>
      <xdr:colOff>333375</xdr:colOff>
      <xdr:row>154</xdr:row>
      <xdr:rowOff>142875</xdr:rowOff>
    </xdr:to>
    <xdr:sp>
      <xdr:nvSpPr>
        <xdr:cNvPr id="74" name="Line 110"/>
        <xdr:cNvSpPr>
          <a:spLocks/>
        </xdr:cNvSpPr>
      </xdr:nvSpPr>
      <xdr:spPr>
        <a:xfrm>
          <a:off x="1895475" y="25698450"/>
          <a:ext cx="13430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151</xdr:row>
      <xdr:rowOff>9525</xdr:rowOff>
    </xdr:from>
    <xdr:to>
      <xdr:col>4</xdr:col>
      <xdr:colOff>133350</xdr:colOff>
      <xdr:row>152</xdr:row>
      <xdr:rowOff>85725</xdr:rowOff>
    </xdr:to>
    <xdr:sp>
      <xdr:nvSpPr>
        <xdr:cNvPr id="75" name="Line 111"/>
        <xdr:cNvSpPr>
          <a:spLocks/>
        </xdr:cNvSpPr>
      </xdr:nvSpPr>
      <xdr:spPr>
        <a:xfrm>
          <a:off x="1866900" y="25698450"/>
          <a:ext cx="11715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151</xdr:row>
      <xdr:rowOff>0</xdr:rowOff>
    </xdr:from>
    <xdr:to>
      <xdr:col>4</xdr:col>
      <xdr:colOff>419100</xdr:colOff>
      <xdr:row>152</xdr:row>
      <xdr:rowOff>57150</xdr:rowOff>
    </xdr:to>
    <xdr:sp>
      <xdr:nvSpPr>
        <xdr:cNvPr id="76" name="Line 112"/>
        <xdr:cNvSpPr>
          <a:spLocks/>
        </xdr:cNvSpPr>
      </xdr:nvSpPr>
      <xdr:spPr>
        <a:xfrm>
          <a:off x="1866900" y="25688925"/>
          <a:ext cx="1457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146</xdr:row>
      <xdr:rowOff>19050</xdr:rowOff>
    </xdr:from>
    <xdr:to>
      <xdr:col>1</xdr:col>
      <xdr:colOff>590550</xdr:colOff>
      <xdr:row>146</xdr:row>
      <xdr:rowOff>133350</xdr:rowOff>
    </xdr:to>
    <xdr:sp>
      <xdr:nvSpPr>
        <xdr:cNvPr id="77" name="Line 113"/>
        <xdr:cNvSpPr>
          <a:spLocks/>
        </xdr:cNvSpPr>
      </xdr:nvSpPr>
      <xdr:spPr>
        <a:xfrm flipH="1">
          <a:off x="1133475" y="2489835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146</xdr:row>
      <xdr:rowOff>142875</xdr:rowOff>
    </xdr:from>
    <xdr:to>
      <xdr:col>2</xdr:col>
      <xdr:colOff>28575</xdr:colOff>
      <xdr:row>146</xdr:row>
      <xdr:rowOff>142875</xdr:rowOff>
    </xdr:to>
    <xdr:sp>
      <xdr:nvSpPr>
        <xdr:cNvPr id="78" name="Line 114"/>
        <xdr:cNvSpPr>
          <a:spLocks/>
        </xdr:cNvSpPr>
      </xdr:nvSpPr>
      <xdr:spPr>
        <a:xfrm>
          <a:off x="1152525" y="25022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156</xdr:row>
      <xdr:rowOff>28575</xdr:rowOff>
    </xdr:from>
    <xdr:to>
      <xdr:col>4</xdr:col>
      <xdr:colOff>561975</xdr:colOff>
      <xdr:row>156</xdr:row>
      <xdr:rowOff>133350</xdr:rowOff>
    </xdr:to>
    <xdr:sp>
      <xdr:nvSpPr>
        <xdr:cNvPr id="79" name="Line 115"/>
        <xdr:cNvSpPr>
          <a:spLocks/>
        </xdr:cNvSpPr>
      </xdr:nvSpPr>
      <xdr:spPr>
        <a:xfrm flipH="1">
          <a:off x="3429000" y="26527125"/>
          <a:ext cx="381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156</xdr:row>
      <xdr:rowOff>133350</xdr:rowOff>
    </xdr:from>
    <xdr:to>
      <xdr:col>5</xdr:col>
      <xdr:colOff>57150</xdr:colOff>
      <xdr:row>156</xdr:row>
      <xdr:rowOff>133350</xdr:rowOff>
    </xdr:to>
    <xdr:sp>
      <xdr:nvSpPr>
        <xdr:cNvPr id="80" name="Line 116"/>
        <xdr:cNvSpPr>
          <a:spLocks/>
        </xdr:cNvSpPr>
      </xdr:nvSpPr>
      <xdr:spPr>
        <a:xfrm>
          <a:off x="3448050" y="26631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114</xdr:row>
      <xdr:rowOff>0</xdr:rowOff>
    </xdr:from>
    <xdr:to>
      <xdr:col>6</xdr:col>
      <xdr:colOff>9525</xdr:colOff>
      <xdr:row>114</xdr:row>
      <xdr:rowOff>9525</xdr:rowOff>
    </xdr:to>
    <xdr:sp>
      <xdr:nvSpPr>
        <xdr:cNvPr id="81" name="Line 117"/>
        <xdr:cNvSpPr>
          <a:spLocks/>
        </xdr:cNvSpPr>
      </xdr:nvSpPr>
      <xdr:spPr>
        <a:xfrm flipV="1">
          <a:off x="2914650" y="19678650"/>
          <a:ext cx="1295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144</xdr:row>
      <xdr:rowOff>95250</xdr:rowOff>
    </xdr:from>
    <xdr:to>
      <xdr:col>4</xdr:col>
      <xdr:colOff>381000</xdr:colOff>
      <xdr:row>145</xdr:row>
      <xdr:rowOff>0</xdr:rowOff>
    </xdr:to>
    <xdr:sp>
      <xdr:nvSpPr>
        <xdr:cNvPr id="82" name="Arc 120"/>
        <xdr:cNvSpPr>
          <a:spLocks/>
        </xdr:cNvSpPr>
      </xdr:nvSpPr>
      <xdr:spPr>
        <a:xfrm flipH="1">
          <a:off x="3209925" y="24650700"/>
          <a:ext cx="76200" cy="666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144</xdr:row>
      <xdr:rowOff>104775</xdr:rowOff>
    </xdr:from>
    <xdr:to>
      <xdr:col>4</xdr:col>
      <xdr:colOff>180975</xdr:colOff>
      <xdr:row>145</xdr:row>
      <xdr:rowOff>9525</xdr:rowOff>
    </xdr:to>
    <xdr:sp>
      <xdr:nvSpPr>
        <xdr:cNvPr id="83" name="Arc 122"/>
        <xdr:cNvSpPr>
          <a:spLocks/>
        </xdr:cNvSpPr>
      </xdr:nvSpPr>
      <xdr:spPr>
        <a:xfrm flipH="1">
          <a:off x="3009900" y="24660225"/>
          <a:ext cx="76200" cy="666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144</xdr:row>
      <xdr:rowOff>95250</xdr:rowOff>
    </xdr:from>
    <xdr:to>
      <xdr:col>3</xdr:col>
      <xdr:colOff>95250</xdr:colOff>
      <xdr:row>145</xdr:row>
      <xdr:rowOff>0</xdr:rowOff>
    </xdr:to>
    <xdr:sp>
      <xdr:nvSpPr>
        <xdr:cNvPr id="84" name="Arc 123"/>
        <xdr:cNvSpPr>
          <a:spLocks/>
        </xdr:cNvSpPr>
      </xdr:nvSpPr>
      <xdr:spPr>
        <a:xfrm flipH="1">
          <a:off x="1885950" y="24650700"/>
          <a:ext cx="76200" cy="666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144</xdr:row>
      <xdr:rowOff>95250</xdr:rowOff>
    </xdr:from>
    <xdr:to>
      <xdr:col>3</xdr:col>
      <xdr:colOff>276225</xdr:colOff>
      <xdr:row>145</xdr:row>
      <xdr:rowOff>0</xdr:rowOff>
    </xdr:to>
    <xdr:sp>
      <xdr:nvSpPr>
        <xdr:cNvPr id="85" name="Arc 124"/>
        <xdr:cNvSpPr>
          <a:spLocks/>
        </xdr:cNvSpPr>
      </xdr:nvSpPr>
      <xdr:spPr>
        <a:xfrm flipH="1">
          <a:off x="2066925" y="24650700"/>
          <a:ext cx="76200" cy="666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144</xdr:row>
      <xdr:rowOff>95250</xdr:rowOff>
    </xdr:from>
    <xdr:to>
      <xdr:col>3</xdr:col>
      <xdr:colOff>371475</xdr:colOff>
      <xdr:row>145</xdr:row>
      <xdr:rowOff>19050</xdr:rowOff>
    </xdr:to>
    <xdr:sp>
      <xdr:nvSpPr>
        <xdr:cNvPr id="86" name="Arc 129"/>
        <xdr:cNvSpPr>
          <a:spLocks/>
        </xdr:cNvSpPr>
      </xdr:nvSpPr>
      <xdr:spPr>
        <a:xfrm>
          <a:off x="2152650" y="24650700"/>
          <a:ext cx="8572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144</xdr:row>
      <xdr:rowOff>95250</xdr:rowOff>
    </xdr:from>
    <xdr:to>
      <xdr:col>3</xdr:col>
      <xdr:colOff>200025</xdr:colOff>
      <xdr:row>145</xdr:row>
      <xdr:rowOff>19050</xdr:rowOff>
    </xdr:to>
    <xdr:sp>
      <xdr:nvSpPr>
        <xdr:cNvPr id="87" name="Arc 133"/>
        <xdr:cNvSpPr>
          <a:spLocks/>
        </xdr:cNvSpPr>
      </xdr:nvSpPr>
      <xdr:spPr>
        <a:xfrm>
          <a:off x="1981200" y="24650700"/>
          <a:ext cx="8572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144</xdr:row>
      <xdr:rowOff>95250</xdr:rowOff>
    </xdr:from>
    <xdr:to>
      <xdr:col>4</xdr:col>
      <xdr:colOff>476250</xdr:colOff>
      <xdr:row>145</xdr:row>
      <xdr:rowOff>19050</xdr:rowOff>
    </xdr:to>
    <xdr:sp>
      <xdr:nvSpPr>
        <xdr:cNvPr id="88" name="Arc 134"/>
        <xdr:cNvSpPr>
          <a:spLocks/>
        </xdr:cNvSpPr>
      </xdr:nvSpPr>
      <xdr:spPr>
        <a:xfrm>
          <a:off x="3295650" y="24650700"/>
          <a:ext cx="8572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144</xdr:row>
      <xdr:rowOff>104775</xdr:rowOff>
    </xdr:from>
    <xdr:to>
      <xdr:col>4</xdr:col>
      <xdr:colOff>285750</xdr:colOff>
      <xdr:row>145</xdr:row>
      <xdr:rowOff>28575</xdr:rowOff>
    </xdr:to>
    <xdr:sp>
      <xdr:nvSpPr>
        <xdr:cNvPr id="89" name="Arc 136"/>
        <xdr:cNvSpPr>
          <a:spLocks/>
        </xdr:cNvSpPr>
      </xdr:nvSpPr>
      <xdr:spPr>
        <a:xfrm>
          <a:off x="3105150" y="24660225"/>
          <a:ext cx="8572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145</xdr:row>
      <xdr:rowOff>0</xdr:rowOff>
    </xdr:from>
    <xdr:to>
      <xdr:col>3</xdr:col>
      <xdr:colOff>28575</xdr:colOff>
      <xdr:row>145</xdr:row>
      <xdr:rowOff>0</xdr:rowOff>
    </xdr:to>
    <xdr:sp>
      <xdr:nvSpPr>
        <xdr:cNvPr id="90" name="Line 137"/>
        <xdr:cNvSpPr>
          <a:spLocks/>
        </xdr:cNvSpPr>
      </xdr:nvSpPr>
      <xdr:spPr>
        <a:xfrm>
          <a:off x="1647825" y="247173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145</xdr:row>
      <xdr:rowOff>0</xdr:rowOff>
    </xdr:from>
    <xdr:to>
      <xdr:col>4</xdr:col>
      <xdr:colOff>114300</xdr:colOff>
      <xdr:row>145</xdr:row>
      <xdr:rowOff>0</xdr:rowOff>
    </xdr:to>
    <xdr:sp>
      <xdr:nvSpPr>
        <xdr:cNvPr id="91" name="Line 138"/>
        <xdr:cNvSpPr>
          <a:spLocks/>
        </xdr:cNvSpPr>
      </xdr:nvSpPr>
      <xdr:spPr>
        <a:xfrm>
          <a:off x="2247900" y="247173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145</xdr:row>
      <xdr:rowOff>0</xdr:rowOff>
    </xdr:from>
    <xdr:to>
      <xdr:col>5</xdr:col>
      <xdr:colOff>219075</xdr:colOff>
      <xdr:row>145</xdr:row>
      <xdr:rowOff>0</xdr:rowOff>
    </xdr:to>
    <xdr:sp>
      <xdr:nvSpPr>
        <xdr:cNvPr id="92" name="Line 139"/>
        <xdr:cNvSpPr>
          <a:spLocks/>
        </xdr:cNvSpPr>
      </xdr:nvSpPr>
      <xdr:spPr>
        <a:xfrm>
          <a:off x="3390900" y="247173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500</xdr:row>
      <xdr:rowOff>9525</xdr:rowOff>
    </xdr:from>
    <xdr:to>
      <xdr:col>5</xdr:col>
      <xdr:colOff>285750</xdr:colOff>
      <xdr:row>500</xdr:row>
      <xdr:rowOff>9525</xdr:rowOff>
    </xdr:to>
    <xdr:sp>
      <xdr:nvSpPr>
        <xdr:cNvPr id="93" name="Line 140"/>
        <xdr:cNvSpPr>
          <a:spLocks/>
        </xdr:cNvSpPr>
      </xdr:nvSpPr>
      <xdr:spPr>
        <a:xfrm>
          <a:off x="1819275" y="82381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497</xdr:row>
      <xdr:rowOff>9525</xdr:rowOff>
    </xdr:from>
    <xdr:to>
      <xdr:col>3</xdr:col>
      <xdr:colOff>552450</xdr:colOff>
      <xdr:row>500</xdr:row>
      <xdr:rowOff>0</xdr:rowOff>
    </xdr:to>
    <xdr:sp>
      <xdr:nvSpPr>
        <xdr:cNvPr id="94" name="Line 141"/>
        <xdr:cNvSpPr>
          <a:spLocks/>
        </xdr:cNvSpPr>
      </xdr:nvSpPr>
      <xdr:spPr>
        <a:xfrm flipV="1">
          <a:off x="1819275" y="81895950"/>
          <a:ext cx="6000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500</xdr:row>
      <xdr:rowOff>9525</xdr:rowOff>
    </xdr:from>
    <xdr:to>
      <xdr:col>5</xdr:col>
      <xdr:colOff>266700</xdr:colOff>
      <xdr:row>501</xdr:row>
      <xdr:rowOff>104775</xdr:rowOff>
    </xdr:to>
    <xdr:sp>
      <xdr:nvSpPr>
        <xdr:cNvPr id="95" name="Line 142"/>
        <xdr:cNvSpPr>
          <a:spLocks/>
        </xdr:cNvSpPr>
      </xdr:nvSpPr>
      <xdr:spPr>
        <a:xfrm flipH="1">
          <a:off x="3609975" y="8238172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501</xdr:row>
      <xdr:rowOff>104775</xdr:rowOff>
    </xdr:from>
    <xdr:to>
      <xdr:col>6</xdr:col>
      <xdr:colOff>142875</xdr:colOff>
      <xdr:row>505</xdr:row>
      <xdr:rowOff>9525</xdr:rowOff>
    </xdr:to>
    <xdr:sp>
      <xdr:nvSpPr>
        <xdr:cNvPr id="96" name="Line 143"/>
        <xdr:cNvSpPr>
          <a:spLocks/>
        </xdr:cNvSpPr>
      </xdr:nvSpPr>
      <xdr:spPr>
        <a:xfrm>
          <a:off x="3619500" y="82638900"/>
          <a:ext cx="7239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500</xdr:row>
      <xdr:rowOff>0</xdr:rowOff>
    </xdr:from>
    <xdr:to>
      <xdr:col>6</xdr:col>
      <xdr:colOff>28575</xdr:colOff>
      <xdr:row>504</xdr:row>
      <xdr:rowOff>142875</xdr:rowOff>
    </xdr:to>
    <xdr:sp>
      <xdr:nvSpPr>
        <xdr:cNvPr id="97" name="Line 144"/>
        <xdr:cNvSpPr>
          <a:spLocks/>
        </xdr:cNvSpPr>
      </xdr:nvSpPr>
      <xdr:spPr>
        <a:xfrm>
          <a:off x="1847850" y="82372200"/>
          <a:ext cx="23812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498</xdr:row>
      <xdr:rowOff>76200</xdr:rowOff>
    </xdr:from>
    <xdr:to>
      <xdr:col>3</xdr:col>
      <xdr:colOff>428625</xdr:colOff>
      <xdr:row>500</xdr:row>
      <xdr:rowOff>19050</xdr:rowOff>
    </xdr:to>
    <xdr:sp>
      <xdr:nvSpPr>
        <xdr:cNvPr id="98" name="Arc 145"/>
        <xdr:cNvSpPr>
          <a:spLocks/>
        </xdr:cNvSpPr>
      </xdr:nvSpPr>
      <xdr:spPr>
        <a:xfrm>
          <a:off x="2152650" y="82124550"/>
          <a:ext cx="142875" cy="2667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500</xdr:row>
      <xdr:rowOff>9525</xdr:rowOff>
    </xdr:from>
    <xdr:to>
      <xdr:col>3</xdr:col>
      <xdr:colOff>790575</xdr:colOff>
      <xdr:row>501</xdr:row>
      <xdr:rowOff>123825</xdr:rowOff>
    </xdr:to>
    <xdr:sp>
      <xdr:nvSpPr>
        <xdr:cNvPr id="99" name="Arc 146"/>
        <xdr:cNvSpPr>
          <a:spLocks/>
        </xdr:cNvSpPr>
      </xdr:nvSpPr>
      <xdr:spPr>
        <a:xfrm>
          <a:off x="2152650" y="82381725"/>
          <a:ext cx="504825" cy="276225"/>
        </a:xfrm>
        <a:custGeom>
          <a:pathLst>
            <a:path fill="none" h="16360" w="21600">
              <a:moveTo>
                <a:pt x="14103" y="0"/>
              </a:moveTo>
              <a:cubicBezTo>
                <a:pt x="18863" y="4103"/>
                <a:pt x="21600" y="10075"/>
                <a:pt x="21600" y="16360"/>
              </a:cubicBezTo>
            </a:path>
            <a:path stroke="0" h="16360" w="21600">
              <a:moveTo>
                <a:pt x="14103" y="0"/>
              </a:moveTo>
              <a:cubicBezTo>
                <a:pt x="18863" y="4103"/>
                <a:pt x="21600" y="10075"/>
                <a:pt x="21600" y="16360"/>
              </a:cubicBezTo>
              <a:lnTo>
                <a:pt x="0" y="1636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516</xdr:row>
      <xdr:rowOff>9525</xdr:rowOff>
    </xdr:from>
    <xdr:to>
      <xdr:col>5</xdr:col>
      <xdr:colOff>285750</xdr:colOff>
      <xdr:row>516</xdr:row>
      <xdr:rowOff>9525</xdr:rowOff>
    </xdr:to>
    <xdr:sp>
      <xdr:nvSpPr>
        <xdr:cNvPr id="100" name="Line 147"/>
        <xdr:cNvSpPr>
          <a:spLocks/>
        </xdr:cNvSpPr>
      </xdr:nvSpPr>
      <xdr:spPr>
        <a:xfrm>
          <a:off x="1819275" y="84972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516</xdr:row>
      <xdr:rowOff>9525</xdr:rowOff>
    </xdr:from>
    <xdr:to>
      <xdr:col>3</xdr:col>
      <xdr:colOff>723900</xdr:colOff>
      <xdr:row>517</xdr:row>
      <xdr:rowOff>47625</xdr:rowOff>
    </xdr:to>
    <xdr:sp>
      <xdr:nvSpPr>
        <xdr:cNvPr id="101" name="Arc 152"/>
        <xdr:cNvSpPr>
          <a:spLocks/>
        </xdr:cNvSpPr>
      </xdr:nvSpPr>
      <xdr:spPr>
        <a:xfrm>
          <a:off x="2247900" y="84972525"/>
          <a:ext cx="342900" cy="200025"/>
        </a:xfrm>
        <a:custGeom>
          <a:pathLst>
            <a:path fill="none" h="34196" w="21600">
              <a:moveTo>
                <a:pt x="13449" y="-1"/>
              </a:moveTo>
              <a:cubicBezTo>
                <a:pt x="18599" y="4097"/>
                <a:pt x="21600" y="10320"/>
                <a:pt x="21600" y="16902"/>
              </a:cubicBezTo>
              <a:cubicBezTo>
                <a:pt x="21600" y="23709"/>
                <a:pt x="18391" y="30117"/>
                <a:pt x="12941" y="34196"/>
              </a:cubicBezTo>
            </a:path>
            <a:path stroke="0" h="34196" w="21600">
              <a:moveTo>
                <a:pt x="13449" y="-1"/>
              </a:moveTo>
              <a:cubicBezTo>
                <a:pt x="18599" y="4097"/>
                <a:pt x="21600" y="10320"/>
                <a:pt x="21600" y="16902"/>
              </a:cubicBezTo>
              <a:cubicBezTo>
                <a:pt x="21600" y="23709"/>
                <a:pt x="18391" y="30117"/>
                <a:pt x="12941" y="34196"/>
              </a:cubicBezTo>
              <a:lnTo>
                <a:pt x="0" y="1690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516</xdr:row>
      <xdr:rowOff>9525</xdr:rowOff>
    </xdr:from>
    <xdr:to>
      <xdr:col>4</xdr:col>
      <xdr:colOff>171450</xdr:colOff>
      <xdr:row>518</xdr:row>
      <xdr:rowOff>95250</xdr:rowOff>
    </xdr:to>
    <xdr:sp>
      <xdr:nvSpPr>
        <xdr:cNvPr id="102" name="Line 154"/>
        <xdr:cNvSpPr>
          <a:spLocks/>
        </xdr:cNvSpPr>
      </xdr:nvSpPr>
      <xdr:spPr>
        <a:xfrm>
          <a:off x="1876425" y="84972525"/>
          <a:ext cx="12001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514</xdr:row>
      <xdr:rowOff>57150</xdr:rowOff>
    </xdr:from>
    <xdr:to>
      <xdr:col>5</xdr:col>
      <xdr:colOff>266700</xdr:colOff>
      <xdr:row>516</xdr:row>
      <xdr:rowOff>9525</xdr:rowOff>
    </xdr:to>
    <xdr:sp>
      <xdr:nvSpPr>
        <xdr:cNvPr id="103" name="Line 155"/>
        <xdr:cNvSpPr>
          <a:spLocks/>
        </xdr:cNvSpPr>
      </xdr:nvSpPr>
      <xdr:spPr>
        <a:xfrm flipH="1" flipV="1">
          <a:off x="3305175" y="84696300"/>
          <a:ext cx="552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514</xdr:row>
      <xdr:rowOff>66675</xdr:rowOff>
    </xdr:from>
    <xdr:to>
      <xdr:col>4</xdr:col>
      <xdr:colOff>409575</xdr:colOff>
      <xdr:row>521</xdr:row>
      <xdr:rowOff>114300</xdr:rowOff>
    </xdr:to>
    <xdr:sp>
      <xdr:nvSpPr>
        <xdr:cNvPr id="104" name="Line 156"/>
        <xdr:cNvSpPr>
          <a:spLocks/>
        </xdr:cNvSpPr>
      </xdr:nvSpPr>
      <xdr:spPr>
        <a:xfrm flipH="1">
          <a:off x="2305050" y="84705825"/>
          <a:ext cx="10096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438150</xdr:colOff>
      <xdr:row>521</xdr:row>
      <xdr:rowOff>57150</xdr:rowOff>
    </xdr:to>
    <xdr:sp>
      <xdr:nvSpPr>
        <xdr:cNvPr id="105" name="Line 157"/>
        <xdr:cNvSpPr>
          <a:spLocks/>
        </xdr:cNvSpPr>
      </xdr:nvSpPr>
      <xdr:spPr>
        <a:xfrm>
          <a:off x="1866900" y="849630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516</xdr:row>
      <xdr:rowOff>0</xdr:rowOff>
    </xdr:from>
    <xdr:to>
      <xdr:col>3</xdr:col>
      <xdr:colOff>200025</xdr:colOff>
      <xdr:row>517</xdr:row>
      <xdr:rowOff>95250</xdr:rowOff>
    </xdr:to>
    <xdr:sp>
      <xdr:nvSpPr>
        <xdr:cNvPr id="106" name="Arc 158"/>
        <xdr:cNvSpPr>
          <a:spLocks/>
        </xdr:cNvSpPr>
      </xdr:nvSpPr>
      <xdr:spPr>
        <a:xfrm flipV="1">
          <a:off x="1990725" y="84963000"/>
          <a:ext cx="76200" cy="2571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553</xdr:row>
      <xdr:rowOff>0</xdr:rowOff>
    </xdr:from>
    <xdr:to>
      <xdr:col>6</xdr:col>
      <xdr:colOff>0</xdr:colOff>
      <xdr:row>553</xdr:row>
      <xdr:rowOff>0</xdr:rowOff>
    </xdr:to>
    <xdr:sp>
      <xdr:nvSpPr>
        <xdr:cNvPr id="107" name="Line 159"/>
        <xdr:cNvSpPr>
          <a:spLocks/>
        </xdr:cNvSpPr>
      </xdr:nvSpPr>
      <xdr:spPr>
        <a:xfrm>
          <a:off x="1866900" y="9097327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551</xdr:row>
      <xdr:rowOff>57150</xdr:rowOff>
    </xdr:from>
    <xdr:to>
      <xdr:col>3</xdr:col>
      <xdr:colOff>95250</xdr:colOff>
      <xdr:row>553</xdr:row>
      <xdr:rowOff>0</xdr:rowOff>
    </xdr:to>
    <xdr:sp>
      <xdr:nvSpPr>
        <xdr:cNvPr id="108" name="Line 163"/>
        <xdr:cNvSpPr>
          <a:spLocks/>
        </xdr:cNvSpPr>
      </xdr:nvSpPr>
      <xdr:spPr>
        <a:xfrm flipV="1">
          <a:off x="1819275" y="90706575"/>
          <a:ext cx="1428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553</xdr:row>
      <xdr:rowOff>0</xdr:rowOff>
    </xdr:from>
    <xdr:to>
      <xdr:col>6</xdr:col>
      <xdr:colOff>447675</xdr:colOff>
      <xdr:row>556</xdr:row>
      <xdr:rowOff>9525</xdr:rowOff>
    </xdr:to>
    <xdr:sp>
      <xdr:nvSpPr>
        <xdr:cNvPr id="109" name="Line 165"/>
        <xdr:cNvSpPr>
          <a:spLocks/>
        </xdr:cNvSpPr>
      </xdr:nvSpPr>
      <xdr:spPr>
        <a:xfrm>
          <a:off x="1819275" y="90973275"/>
          <a:ext cx="28289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551</xdr:row>
      <xdr:rowOff>57150</xdr:rowOff>
    </xdr:from>
    <xdr:to>
      <xdr:col>4</xdr:col>
      <xdr:colOff>495300</xdr:colOff>
      <xdr:row>553</xdr:row>
      <xdr:rowOff>0</xdr:rowOff>
    </xdr:to>
    <xdr:sp>
      <xdr:nvSpPr>
        <xdr:cNvPr id="110" name="Line 170"/>
        <xdr:cNvSpPr>
          <a:spLocks/>
        </xdr:cNvSpPr>
      </xdr:nvSpPr>
      <xdr:spPr>
        <a:xfrm>
          <a:off x="1943100" y="90706575"/>
          <a:ext cx="145732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552</xdr:row>
      <xdr:rowOff>152400</xdr:rowOff>
    </xdr:from>
    <xdr:to>
      <xdr:col>4</xdr:col>
      <xdr:colOff>466725</xdr:colOff>
      <xdr:row>554</xdr:row>
      <xdr:rowOff>57150</xdr:rowOff>
    </xdr:to>
    <xdr:sp>
      <xdr:nvSpPr>
        <xdr:cNvPr id="111" name="Line 171"/>
        <xdr:cNvSpPr>
          <a:spLocks/>
        </xdr:cNvSpPr>
      </xdr:nvSpPr>
      <xdr:spPr>
        <a:xfrm flipH="1">
          <a:off x="3305175" y="90963750"/>
          <a:ext cx="666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553</xdr:row>
      <xdr:rowOff>0</xdr:rowOff>
    </xdr:from>
    <xdr:to>
      <xdr:col>4</xdr:col>
      <xdr:colOff>400050</xdr:colOff>
      <xdr:row>554</xdr:row>
      <xdr:rowOff>85725</xdr:rowOff>
    </xdr:to>
    <xdr:sp>
      <xdr:nvSpPr>
        <xdr:cNvPr id="112" name="Line 172"/>
        <xdr:cNvSpPr>
          <a:spLocks/>
        </xdr:cNvSpPr>
      </xdr:nvSpPr>
      <xdr:spPr>
        <a:xfrm>
          <a:off x="1866900" y="90973275"/>
          <a:ext cx="14382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553</xdr:row>
      <xdr:rowOff>9525</xdr:rowOff>
    </xdr:from>
    <xdr:to>
      <xdr:col>4</xdr:col>
      <xdr:colOff>485775</xdr:colOff>
      <xdr:row>553</xdr:row>
      <xdr:rowOff>9525</xdr:rowOff>
    </xdr:to>
    <xdr:sp>
      <xdr:nvSpPr>
        <xdr:cNvPr id="113" name="Line 173"/>
        <xdr:cNvSpPr>
          <a:spLocks/>
        </xdr:cNvSpPr>
      </xdr:nvSpPr>
      <xdr:spPr>
        <a:xfrm>
          <a:off x="1866900" y="909828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552</xdr:row>
      <xdr:rowOff>152400</xdr:rowOff>
    </xdr:from>
    <xdr:to>
      <xdr:col>5</xdr:col>
      <xdr:colOff>561975</xdr:colOff>
      <xdr:row>555</xdr:row>
      <xdr:rowOff>66675</xdr:rowOff>
    </xdr:to>
    <xdr:sp>
      <xdr:nvSpPr>
        <xdr:cNvPr id="114" name="Line 174"/>
        <xdr:cNvSpPr>
          <a:spLocks/>
        </xdr:cNvSpPr>
      </xdr:nvSpPr>
      <xdr:spPr>
        <a:xfrm flipV="1">
          <a:off x="4152900" y="909637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553</xdr:row>
      <xdr:rowOff>9525</xdr:rowOff>
    </xdr:from>
    <xdr:to>
      <xdr:col>5</xdr:col>
      <xdr:colOff>571500</xdr:colOff>
      <xdr:row>555</xdr:row>
      <xdr:rowOff>76200</xdr:rowOff>
    </xdr:to>
    <xdr:sp>
      <xdr:nvSpPr>
        <xdr:cNvPr id="115" name="Line 175"/>
        <xdr:cNvSpPr>
          <a:spLocks/>
        </xdr:cNvSpPr>
      </xdr:nvSpPr>
      <xdr:spPr>
        <a:xfrm>
          <a:off x="1866900" y="90982800"/>
          <a:ext cx="2295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553</xdr:row>
      <xdr:rowOff>9525</xdr:rowOff>
    </xdr:from>
    <xdr:to>
      <xdr:col>3</xdr:col>
      <xdr:colOff>971550</xdr:colOff>
      <xdr:row>553</xdr:row>
      <xdr:rowOff>152400</xdr:rowOff>
    </xdr:to>
    <xdr:sp>
      <xdr:nvSpPr>
        <xdr:cNvPr id="116" name="Arc 176"/>
        <xdr:cNvSpPr>
          <a:spLocks/>
        </xdr:cNvSpPr>
      </xdr:nvSpPr>
      <xdr:spPr>
        <a:xfrm>
          <a:off x="2809875" y="90982800"/>
          <a:ext cx="28575" cy="142875"/>
        </a:xfrm>
        <a:custGeom>
          <a:pathLst>
            <a:path fill="none" h="21600" w="21477">
              <a:moveTo>
                <a:pt x="-1" y="0"/>
              </a:moveTo>
              <a:cubicBezTo>
                <a:pt x="11039" y="0"/>
                <a:pt x="20301" y="8323"/>
                <a:pt x="21477" y="19299"/>
              </a:cubicBezTo>
            </a:path>
            <a:path stroke="0" h="21600" w="21477">
              <a:moveTo>
                <a:pt x="-1" y="0"/>
              </a:moveTo>
              <a:cubicBezTo>
                <a:pt x="11039" y="0"/>
                <a:pt x="20301" y="8323"/>
                <a:pt x="21477" y="19299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602</xdr:row>
      <xdr:rowOff>152400</xdr:rowOff>
    </xdr:from>
    <xdr:to>
      <xdr:col>3</xdr:col>
      <xdr:colOff>0</xdr:colOff>
      <xdr:row>602</xdr:row>
      <xdr:rowOff>152400</xdr:rowOff>
    </xdr:to>
    <xdr:sp>
      <xdr:nvSpPr>
        <xdr:cNvPr id="117" name="Line 182"/>
        <xdr:cNvSpPr>
          <a:spLocks/>
        </xdr:cNvSpPr>
      </xdr:nvSpPr>
      <xdr:spPr>
        <a:xfrm>
          <a:off x="971550" y="990790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602</xdr:row>
      <xdr:rowOff>95250</xdr:rowOff>
    </xdr:from>
    <xdr:to>
      <xdr:col>3</xdr:col>
      <xdr:colOff>95250</xdr:colOff>
      <xdr:row>603</xdr:row>
      <xdr:rowOff>0</xdr:rowOff>
    </xdr:to>
    <xdr:sp>
      <xdr:nvSpPr>
        <xdr:cNvPr id="118" name="Arc 191"/>
        <xdr:cNvSpPr>
          <a:spLocks/>
        </xdr:cNvSpPr>
      </xdr:nvSpPr>
      <xdr:spPr>
        <a:xfrm flipH="1">
          <a:off x="1885950" y="99021900"/>
          <a:ext cx="76200" cy="666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602</xdr:row>
      <xdr:rowOff>95250</xdr:rowOff>
    </xdr:from>
    <xdr:to>
      <xdr:col>3</xdr:col>
      <xdr:colOff>276225</xdr:colOff>
      <xdr:row>603</xdr:row>
      <xdr:rowOff>0</xdr:rowOff>
    </xdr:to>
    <xdr:sp>
      <xdr:nvSpPr>
        <xdr:cNvPr id="119" name="Arc 192"/>
        <xdr:cNvSpPr>
          <a:spLocks/>
        </xdr:cNvSpPr>
      </xdr:nvSpPr>
      <xdr:spPr>
        <a:xfrm flipH="1">
          <a:off x="2066925" y="99021900"/>
          <a:ext cx="76200" cy="666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602</xdr:row>
      <xdr:rowOff>95250</xdr:rowOff>
    </xdr:from>
    <xdr:to>
      <xdr:col>3</xdr:col>
      <xdr:colOff>371475</xdr:colOff>
      <xdr:row>603</xdr:row>
      <xdr:rowOff>19050</xdr:rowOff>
    </xdr:to>
    <xdr:sp>
      <xdr:nvSpPr>
        <xdr:cNvPr id="120" name="Arc 193"/>
        <xdr:cNvSpPr>
          <a:spLocks/>
        </xdr:cNvSpPr>
      </xdr:nvSpPr>
      <xdr:spPr>
        <a:xfrm>
          <a:off x="2152650" y="99021900"/>
          <a:ext cx="8572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602</xdr:row>
      <xdr:rowOff>95250</xdr:rowOff>
    </xdr:from>
    <xdr:to>
      <xdr:col>3</xdr:col>
      <xdr:colOff>200025</xdr:colOff>
      <xdr:row>603</xdr:row>
      <xdr:rowOff>19050</xdr:rowOff>
    </xdr:to>
    <xdr:sp>
      <xdr:nvSpPr>
        <xdr:cNvPr id="121" name="Arc 194"/>
        <xdr:cNvSpPr>
          <a:spLocks/>
        </xdr:cNvSpPr>
      </xdr:nvSpPr>
      <xdr:spPr>
        <a:xfrm>
          <a:off x="1981200" y="99021900"/>
          <a:ext cx="8572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602</xdr:row>
      <xdr:rowOff>95250</xdr:rowOff>
    </xdr:from>
    <xdr:to>
      <xdr:col>4</xdr:col>
      <xdr:colOff>95250</xdr:colOff>
      <xdr:row>603</xdr:row>
      <xdr:rowOff>0</xdr:rowOff>
    </xdr:to>
    <xdr:sp>
      <xdr:nvSpPr>
        <xdr:cNvPr id="122" name="Arc 195"/>
        <xdr:cNvSpPr>
          <a:spLocks/>
        </xdr:cNvSpPr>
      </xdr:nvSpPr>
      <xdr:spPr>
        <a:xfrm flipH="1">
          <a:off x="2924175" y="99021900"/>
          <a:ext cx="76200" cy="666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602</xdr:row>
      <xdr:rowOff>95250</xdr:rowOff>
    </xdr:from>
    <xdr:to>
      <xdr:col>4</xdr:col>
      <xdr:colOff>276225</xdr:colOff>
      <xdr:row>603</xdr:row>
      <xdr:rowOff>0</xdr:rowOff>
    </xdr:to>
    <xdr:sp>
      <xdr:nvSpPr>
        <xdr:cNvPr id="123" name="Arc 196"/>
        <xdr:cNvSpPr>
          <a:spLocks/>
        </xdr:cNvSpPr>
      </xdr:nvSpPr>
      <xdr:spPr>
        <a:xfrm flipH="1">
          <a:off x="3105150" y="99021900"/>
          <a:ext cx="76200" cy="666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602</xdr:row>
      <xdr:rowOff>95250</xdr:rowOff>
    </xdr:from>
    <xdr:to>
      <xdr:col>4</xdr:col>
      <xdr:colOff>371475</xdr:colOff>
      <xdr:row>603</xdr:row>
      <xdr:rowOff>19050</xdr:rowOff>
    </xdr:to>
    <xdr:sp>
      <xdr:nvSpPr>
        <xdr:cNvPr id="124" name="Arc 197"/>
        <xdr:cNvSpPr>
          <a:spLocks/>
        </xdr:cNvSpPr>
      </xdr:nvSpPr>
      <xdr:spPr>
        <a:xfrm>
          <a:off x="3190875" y="99021900"/>
          <a:ext cx="8572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602</xdr:row>
      <xdr:rowOff>95250</xdr:rowOff>
    </xdr:from>
    <xdr:to>
      <xdr:col>4</xdr:col>
      <xdr:colOff>200025</xdr:colOff>
      <xdr:row>603</xdr:row>
      <xdr:rowOff>19050</xdr:rowOff>
    </xdr:to>
    <xdr:sp>
      <xdr:nvSpPr>
        <xdr:cNvPr id="125" name="Arc 198"/>
        <xdr:cNvSpPr>
          <a:spLocks/>
        </xdr:cNvSpPr>
      </xdr:nvSpPr>
      <xdr:spPr>
        <a:xfrm>
          <a:off x="3019425" y="99021900"/>
          <a:ext cx="8572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603</xdr:row>
      <xdr:rowOff>9525</xdr:rowOff>
    </xdr:from>
    <xdr:to>
      <xdr:col>4</xdr:col>
      <xdr:colOff>9525</xdr:colOff>
      <xdr:row>603</xdr:row>
      <xdr:rowOff>9525</xdr:rowOff>
    </xdr:to>
    <xdr:sp>
      <xdr:nvSpPr>
        <xdr:cNvPr id="126" name="Line 199"/>
        <xdr:cNvSpPr>
          <a:spLocks/>
        </xdr:cNvSpPr>
      </xdr:nvSpPr>
      <xdr:spPr>
        <a:xfrm>
          <a:off x="2247900" y="990981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603</xdr:row>
      <xdr:rowOff>9525</xdr:rowOff>
    </xdr:from>
    <xdr:to>
      <xdr:col>5</xdr:col>
      <xdr:colOff>504825</xdr:colOff>
      <xdr:row>603</xdr:row>
      <xdr:rowOff>9525</xdr:rowOff>
    </xdr:to>
    <xdr:sp>
      <xdr:nvSpPr>
        <xdr:cNvPr id="127" name="Line 200"/>
        <xdr:cNvSpPr>
          <a:spLocks/>
        </xdr:cNvSpPr>
      </xdr:nvSpPr>
      <xdr:spPr>
        <a:xfrm>
          <a:off x="3286125" y="990981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602</xdr:row>
      <xdr:rowOff>9525</xdr:rowOff>
    </xdr:from>
    <xdr:to>
      <xdr:col>5</xdr:col>
      <xdr:colOff>504825</xdr:colOff>
      <xdr:row>604</xdr:row>
      <xdr:rowOff>0</xdr:rowOff>
    </xdr:to>
    <xdr:sp>
      <xdr:nvSpPr>
        <xdr:cNvPr id="128" name="Line 201"/>
        <xdr:cNvSpPr>
          <a:spLocks/>
        </xdr:cNvSpPr>
      </xdr:nvSpPr>
      <xdr:spPr>
        <a:xfrm>
          <a:off x="4095750" y="989361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603</xdr:row>
      <xdr:rowOff>0</xdr:rowOff>
    </xdr:from>
    <xdr:to>
      <xdr:col>1</xdr:col>
      <xdr:colOff>371475</xdr:colOff>
      <xdr:row>604</xdr:row>
      <xdr:rowOff>85725</xdr:rowOff>
    </xdr:to>
    <xdr:sp>
      <xdr:nvSpPr>
        <xdr:cNvPr id="129" name="Line 202"/>
        <xdr:cNvSpPr>
          <a:spLocks/>
        </xdr:cNvSpPr>
      </xdr:nvSpPr>
      <xdr:spPr>
        <a:xfrm>
          <a:off x="981075" y="99088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604</xdr:row>
      <xdr:rowOff>76200</xdr:rowOff>
    </xdr:from>
    <xdr:to>
      <xdr:col>1</xdr:col>
      <xdr:colOff>476250</xdr:colOff>
      <xdr:row>605</xdr:row>
      <xdr:rowOff>95250</xdr:rowOff>
    </xdr:to>
    <xdr:sp>
      <xdr:nvSpPr>
        <xdr:cNvPr id="130" name="Oval 204"/>
        <xdr:cNvSpPr>
          <a:spLocks/>
        </xdr:cNvSpPr>
      </xdr:nvSpPr>
      <xdr:spPr>
        <a:xfrm>
          <a:off x="895350" y="993267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605</xdr:row>
      <xdr:rowOff>104775</xdr:rowOff>
    </xdr:from>
    <xdr:to>
      <xdr:col>1</xdr:col>
      <xdr:colOff>371475</xdr:colOff>
      <xdr:row>606</xdr:row>
      <xdr:rowOff>152400</xdr:rowOff>
    </xdr:to>
    <xdr:sp>
      <xdr:nvSpPr>
        <xdr:cNvPr id="131" name="Line 205"/>
        <xdr:cNvSpPr>
          <a:spLocks/>
        </xdr:cNvSpPr>
      </xdr:nvSpPr>
      <xdr:spPr>
        <a:xfrm>
          <a:off x="981075" y="995172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606</xdr:row>
      <xdr:rowOff>152400</xdr:rowOff>
    </xdr:from>
    <xdr:to>
      <xdr:col>1</xdr:col>
      <xdr:colOff>514350</xdr:colOff>
      <xdr:row>606</xdr:row>
      <xdr:rowOff>152400</xdr:rowOff>
    </xdr:to>
    <xdr:sp>
      <xdr:nvSpPr>
        <xdr:cNvPr id="132" name="Line 206"/>
        <xdr:cNvSpPr>
          <a:spLocks/>
        </xdr:cNvSpPr>
      </xdr:nvSpPr>
      <xdr:spPr>
        <a:xfrm>
          <a:off x="857250" y="99726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607</xdr:row>
      <xdr:rowOff>57150</xdr:rowOff>
    </xdr:from>
    <xdr:to>
      <xdr:col>1</xdr:col>
      <xdr:colOff>457200</xdr:colOff>
      <xdr:row>607</xdr:row>
      <xdr:rowOff>57150</xdr:rowOff>
    </xdr:to>
    <xdr:sp>
      <xdr:nvSpPr>
        <xdr:cNvPr id="133" name="Line 208"/>
        <xdr:cNvSpPr>
          <a:spLocks/>
        </xdr:cNvSpPr>
      </xdr:nvSpPr>
      <xdr:spPr>
        <a:xfrm>
          <a:off x="914400" y="99793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607</xdr:row>
      <xdr:rowOff>104775</xdr:rowOff>
    </xdr:from>
    <xdr:to>
      <xdr:col>1</xdr:col>
      <xdr:colOff>428625</xdr:colOff>
      <xdr:row>607</xdr:row>
      <xdr:rowOff>104775</xdr:rowOff>
    </xdr:to>
    <xdr:sp>
      <xdr:nvSpPr>
        <xdr:cNvPr id="134" name="Line 209"/>
        <xdr:cNvSpPr>
          <a:spLocks/>
        </xdr:cNvSpPr>
      </xdr:nvSpPr>
      <xdr:spPr>
        <a:xfrm>
          <a:off x="942975" y="998410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603</xdr:row>
      <xdr:rowOff>19050</xdr:rowOff>
    </xdr:from>
    <xdr:to>
      <xdr:col>3</xdr:col>
      <xdr:colOff>571500</xdr:colOff>
      <xdr:row>607</xdr:row>
      <xdr:rowOff>0</xdr:rowOff>
    </xdr:to>
    <xdr:sp>
      <xdr:nvSpPr>
        <xdr:cNvPr id="135" name="Line 210"/>
        <xdr:cNvSpPr>
          <a:spLocks/>
        </xdr:cNvSpPr>
      </xdr:nvSpPr>
      <xdr:spPr>
        <a:xfrm flipV="1">
          <a:off x="2438400" y="991076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617</xdr:row>
      <xdr:rowOff>9525</xdr:rowOff>
    </xdr:from>
    <xdr:to>
      <xdr:col>5</xdr:col>
      <xdr:colOff>361950</xdr:colOff>
      <xdr:row>617</xdr:row>
      <xdr:rowOff>9525</xdr:rowOff>
    </xdr:to>
    <xdr:sp>
      <xdr:nvSpPr>
        <xdr:cNvPr id="136" name="Line 212"/>
        <xdr:cNvSpPr>
          <a:spLocks/>
        </xdr:cNvSpPr>
      </xdr:nvSpPr>
      <xdr:spPr>
        <a:xfrm>
          <a:off x="1876425" y="101365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608</xdr:row>
      <xdr:rowOff>85725</xdr:rowOff>
    </xdr:from>
    <xdr:to>
      <xdr:col>3</xdr:col>
      <xdr:colOff>9525</xdr:colOff>
      <xdr:row>616</xdr:row>
      <xdr:rowOff>152400</xdr:rowOff>
    </xdr:to>
    <xdr:sp>
      <xdr:nvSpPr>
        <xdr:cNvPr id="137" name="Line 213"/>
        <xdr:cNvSpPr>
          <a:spLocks/>
        </xdr:cNvSpPr>
      </xdr:nvSpPr>
      <xdr:spPr>
        <a:xfrm flipV="1">
          <a:off x="1876425" y="9998392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608</xdr:row>
      <xdr:rowOff>133350</xdr:rowOff>
    </xdr:from>
    <xdr:to>
      <xdr:col>5</xdr:col>
      <xdr:colOff>352425</xdr:colOff>
      <xdr:row>617</xdr:row>
      <xdr:rowOff>19050</xdr:rowOff>
    </xdr:to>
    <xdr:sp>
      <xdr:nvSpPr>
        <xdr:cNvPr id="138" name="Line 214"/>
        <xdr:cNvSpPr>
          <a:spLocks/>
        </xdr:cNvSpPr>
      </xdr:nvSpPr>
      <xdr:spPr>
        <a:xfrm flipH="1" flipV="1">
          <a:off x="1885950" y="100031550"/>
          <a:ext cx="20574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610</xdr:row>
      <xdr:rowOff>9525</xdr:rowOff>
    </xdr:from>
    <xdr:to>
      <xdr:col>3</xdr:col>
      <xdr:colOff>809625</xdr:colOff>
      <xdr:row>617</xdr:row>
      <xdr:rowOff>19050</xdr:rowOff>
    </xdr:to>
    <xdr:sp>
      <xdr:nvSpPr>
        <xdr:cNvPr id="139" name="Line 215"/>
        <xdr:cNvSpPr>
          <a:spLocks/>
        </xdr:cNvSpPr>
      </xdr:nvSpPr>
      <xdr:spPr>
        <a:xfrm flipV="1">
          <a:off x="1895475" y="100231575"/>
          <a:ext cx="7810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614</xdr:row>
      <xdr:rowOff>9525</xdr:rowOff>
    </xdr:from>
    <xdr:to>
      <xdr:col>5</xdr:col>
      <xdr:colOff>342900</xdr:colOff>
      <xdr:row>617</xdr:row>
      <xdr:rowOff>19050</xdr:rowOff>
    </xdr:to>
    <xdr:sp>
      <xdr:nvSpPr>
        <xdr:cNvPr id="140" name="Line 216"/>
        <xdr:cNvSpPr>
          <a:spLocks/>
        </xdr:cNvSpPr>
      </xdr:nvSpPr>
      <xdr:spPr>
        <a:xfrm flipH="1" flipV="1">
          <a:off x="3209925" y="100879275"/>
          <a:ext cx="7239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614</xdr:row>
      <xdr:rowOff>38100</xdr:rowOff>
    </xdr:from>
    <xdr:to>
      <xdr:col>4</xdr:col>
      <xdr:colOff>295275</xdr:colOff>
      <xdr:row>617</xdr:row>
      <xdr:rowOff>9525</xdr:rowOff>
    </xdr:to>
    <xdr:sp>
      <xdr:nvSpPr>
        <xdr:cNvPr id="141" name="Line 217"/>
        <xdr:cNvSpPr>
          <a:spLocks/>
        </xdr:cNvSpPr>
      </xdr:nvSpPr>
      <xdr:spPr>
        <a:xfrm flipV="1">
          <a:off x="1895475" y="10090785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609</xdr:row>
      <xdr:rowOff>19050</xdr:rowOff>
    </xdr:from>
    <xdr:to>
      <xdr:col>4</xdr:col>
      <xdr:colOff>323850</xdr:colOff>
      <xdr:row>614</xdr:row>
      <xdr:rowOff>28575</xdr:rowOff>
    </xdr:to>
    <xdr:sp>
      <xdr:nvSpPr>
        <xdr:cNvPr id="142" name="Line 218"/>
        <xdr:cNvSpPr>
          <a:spLocks/>
        </xdr:cNvSpPr>
      </xdr:nvSpPr>
      <xdr:spPr>
        <a:xfrm flipH="1" flipV="1">
          <a:off x="1943100" y="100079175"/>
          <a:ext cx="12858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611</xdr:row>
      <xdr:rowOff>123825</xdr:rowOff>
    </xdr:from>
    <xdr:to>
      <xdr:col>4</xdr:col>
      <xdr:colOff>209550</xdr:colOff>
      <xdr:row>612</xdr:row>
      <xdr:rowOff>57150</xdr:rowOff>
    </xdr:to>
    <xdr:sp>
      <xdr:nvSpPr>
        <xdr:cNvPr id="143" name="Line 219"/>
        <xdr:cNvSpPr>
          <a:spLocks/>
        </xdr:cNvSpPr>
      </xdr:nvSpPr>
      <xdr:spPr>
        <a:xfrm flipH="1" flipV="1">
          <a:off x="2647950" y="100507800"/>
          <a:ext cx="466725" cy="95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615</xdr:row>
      <xdr:rowOff>38100</xdr:rowOff>
    </xdr:from>
    <xdr:to>
      <xdr:col>3</xdr:col>
      <xdr:colOff>238125</xdr:colOff>
      <xdr:row>616</xdr:row>
      <xdr:rowOff>95250</xdr:rowOff>
    </xdr:to>
    <xdr:sp>
      <xdr:nvSpPr>
        <xdr:cNvPr id="144" name="Arc 220"/>
        <xdr:cNvSpPr>
          <a:spLocks/>
        </xdr:cNvSpPr>
      </xdr:nvSpPr>
      <xdr:spPr>
        <a:xfrm>
          <a:off x="1876425" y="101069775"/>
          <a:ext cx="228600" cy="2190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616</xdr:row>
      <xdr:rowOff>19050</xdr:rowOff>
    </xdr:from>
    <xdr:to>
      <xdr:col>3</xdr:col>
      <xdr:colOff>495300</xdr:colOff>
      <xdr:row>617</xdr:row>
      <xdr:rowOff>9525</xdr:rowOff>
    </xdr:to>
    <xdr:sp>
      <xdr:nvSpPr>
        <xdr:cNvPr id="145" name="Arc 222"/>
        <xdr:cNvSpPr>
          <a:spLocks/>
        </xdr:cNvSpPr>
      </xdr:nvSpPr>
      <xdr:spPr>
        <a:xfrm>
          <a:off x="2286000" y="101212650"/>
          <a:ext cx="76200" cy="1524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602</xdr:row>
      <xdr:rowOff>152400</xdr:rowOff>
    </xdr:from>
    <xdr:to>
      <xdr:col>2</xdr:col>
      <xdr:colOff>95250</xdr:colOff>
      <xdr:row>603</xdr:row>
      <xdr:rowOff>0</xdr:rowOff>
    </xdr:to>
    <xdr:sp>
      <xdr:nvSpPr>
        <xdr:cNvPr id="146" name="Line 223"/>
        <xdr:cNvSpPr>
          <a:spLocks/>
        </xdr:cNvSpPr>
      </xdr:nvSpPr>
      <xdr:spPr>
        <a:xfrm flipV="1">
          <a:off x="1038225" y="99079050"/>
          <a:ext cx="276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603</xdr:row>
      <xdr:rowOff>9525</xdr:rowOff>
    </xdr:from>
    <xdr:to>
      <xdr:col>5</xdr:col>
      <xdr:colOff>381000</xdr:colOff>
      <xdr:row>603</xdr:row>
      <xdr:rowOff>9525</xdr:rowOff>
    </xdr:to>
    <xdr:sp>
      <xdr:nvSpPr>
        <xdr:cNvPr id="147" name="Line 224"/>
        <xdr:cNvSpPr>
          <a:spLocks/>
        </xdr:cNvSpPr>
      </xdr:nvSpPr>
      <xdr:spPr>
        <a:xfrm>
          <a:off x="3676650" y="990981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713</xdr:row>
      <xdr:rowOff>152400</xdr:rowOff>
    </xdr:from>
    <xdr:to>
      <xdr:col>5</xdr:col>
      <xdr:colOff>409575</xdr:colOff>
      <xdr:row>713</xdr:row>
      <xdr:rowOff>152400</xdr:rowOff>
    </xdr:to>
    <xdr:sp>
      <xdr:nvSpPr>
        <xdr:cNvPr id="148" name="Line 225"/>
        <xdr:cNvSpPr>
          <a:spLocks/>
        </xdr:cNvSpPr>
      </xdr:nvSpPr>
      <xdr:spPr>
        <a:xfrm>
          <a:off x="1438275" y="11709082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714</xdr:row>
      <xdr:rowOff>0</xdr:rowOff>
    </xdr:from>
    <xdr:to>
      <xdr:col>2</xdr:col>
      <xdr:colOff>219075</xdr:colOff>
      <xdr:row>716</xdr:row>
      <xdr:rowOff>19050</xdr:rowOff>
    </xdr:to>
    <xdr:sp>
      <xdr:nvSpPr>
        <xdr:cNvPr id="149" name="Line 227"/>
        <xdr:cNvSpPr>
          <a:spLocks/>
        </xdr:cNvSpPr>
      </xdr:nvSpPr>
      <xdr:spPr>
        <a:xfrm>
          <a:off x="1438275" y="1171003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714</xdr:row>
      <xdr:rowOff>9525</xdr:rowOff>
    </xdr:from>
    <xdr:to>
      <xdr:col>5</xdr:col>
      <xdr:colOff>409575</xdr:colOff>
      <xdr:row>716</xdr:row>
      <xdr:rowOff>28575</xdr:rowOff>
    </xdr:to>
    <xdr:sp>
      <xdr:nvSpPr>
        <xdr:cNvPr id="150" name="Line 228"/>
        <xdr:cNvSpPr>
          <a:spLocks/>
        </xdr:cNvSpPr>
      </xdr:nvSpPr>
      <xdr:spPr>
        <a:xfrm>
          <a:off x="4000500" y="117109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713</xdr:row>
      <xdr:rowOff>152400</xdr:rowOff>
    </xdr:from>
    <xdr:to>
      <xdr:col>4</xdr:col>
      <xdr:colOff>361950</xdr:colOff>
      <xdr:row>716</xdr:row>
      <xdr:rowOff>9525</xdr:rowOff>
    </xdr:to>
    <xdr:sp>
      <xdr:nvSpPr>
        <xdr:cNvPr id="151" name="Line 229"/>
        <xdr:cNvSpPr>
          <a:spLocks/>
        </xdr:cNvSpPr>
      </xdr:nvSpPr>
      <xdr:spPr>
        <a:xfrm>
          <a:off x="3267075" y="1170908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716</xdr:row>
      <xdr:rowOff>19050</xdr:rowOff>
    </xdr:from>
    <xdr:to>
      <xdr:col>5</xdr:col>
      <xdr:colOff>533400</xdr:colOff>
      <xdr:row>717</xdr:row>
      <xdr:rowOff>95250</xdr:rowOff>
    </xdr:to>
    <xdr:sp>
      <xdr:nvSpPr>
        <xdr:cNvPr id="152" name="Oval 232"/>
        <xdr:cNvSpPr>
          <a:spLocks/>
        </xdr:cNvSpPr>
      </xdr:nvSpPr>
      <xdr:spPr>
        <a:xfrm>
          <a:off x="3876675" y="117443250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716</xdr:row>
      <xdr:rowOff>9525</xdr:rowOff>
    </xdr:from>
    <xdr:to>
      <xdr:col>2</xdr:col>
      <xdr:colOff>342900</xdr:colOff>
      <xdr:row>717</xdr:row>
      <xdr:rowOff>85725</xdr:rowOff>
    </xdr:to>
    <xdr:sp>
      <xdr:nvSpPr>
        <xdr:cNvPr id="153" name="Oval 233"/>
        <xdr:cNvSpPr>
          <a:spLocks/>
        </xdr:cNvSpPr>
      </xdr:nvSpPr>
      <xdr:spPr>
        <a:xfrm>
          <a:off x="1314450" y="117433725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717</xdr:row>
      <xdr:rowOff>95250</xdr:rowOff>
    </xdr:from>
    <xdr:to>
      <xdr:col>2</xdr:col>
      <xdr:colOff>228600</xdr:colOff>
      <xdr:row>720</xdr:row>
      <xdr:rowOff>9525</xdr:rowOff>
    </xdr:to>
    <xdr:sp>
      <xdr:nvSpPr>
        <xdr:cNvPr id="154" name="Line 235"/>
        <xdr:cNvSpPr>
          <a:spLocks/>
        </xdr:cNvSpPr>
      </xdr:nvSpPr>
      <xdr:spPr>
        <a:xfrm>
          <a:off x="1447800" y="1176813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717</xdr:row>
      <xdr:rowOff>95250</xdr:rowOff>
    </xdr:from>
    <xdr:to>
      <xdr:col>4</xdr:col>
      <xdr:colOff>371475</xdr:colOff>
      <xdr:row>720</xdr:row>
      <xdr:rowOff>9525</xdr:rowOff>
    </xdr:to>
    <xdr:sp>
      <xdr:nvSpPr>
        <xdr:cNvPr id="155" name="Line 236"/>
        <xdr:cNvSpPr>
          <a:spLocks/>
        </xdr:cNvSpPr>
      </xdr:nvSpPr>
      <xdr:spPr>
        <a:xfrm>
          <a:off x="3276600" y="1176813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717</xdr:row>
      <xdr:rowOff>95250</xdr:rowOff>
    </xdr:from>
    <xdr:to>
      <xdr:col>5</xdr:col>
      <xdr:colOff>409575</xdr:colOff>
      <xdr:row>720</xdr:row>
      <xdr:rowOff>9525</xdr:rowOff>
    </xdr:to>
    <xdr:sp>
      <xdr:nvSpPr>
        <xdr:cNvPr id="156" name="Line 237"/>
        <xdr:cNvSpPr>
          <a:spLocks/>
        </xdr:cNvSpPr>
      </xdr:nvSpPr>
      <xdr:spPr>
        <a:xfrm>
          <a:off x="4000500" y="1176813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720</xdr:row>
      <xdr:rowOff>0</xdr:rowOff>
    </xdr:from>
    <xdr:to>
      <xdr:col>5</xdr:col>
      <xdr:colOff>409575</xdr:colOff>
      <xdr:row>720</xdr:row>
      <xdr:rowOff>0</xdr:rowOff>
    </xdr:to>
    <xdr:sp>
      <xdr:nvSpPr>
        <xdr:cNvPr id="157" name="Line 238"/>
        <xdr:cNvSpPr>
          <a:spLocks/>
        </xdr:cNvSpPr>
      </xdr:nvSpPr>
      <xdr:spPr>
        <a:xfrm>
          <a:off x="1438275" y="11807190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714</xdr:row>
      <xdr:rowOff>0</xdr:rowOff>
    </xdr:from>
    <xdr:to>
      <xdr:col>3</xdr:col>
      <xdr:colOff>695325</xdr:colOff>
      <xdr:row>714</xdr:row>
      <xdr:rowOff>0</xdr:rowOff>
    </xdr:to>
    <xdr:sp>
      <xdr:nvSpPr>
        <xdr:cNvPr id="158" name="Line 239"/>
        <xdr:cNvSpPr>
          <a:spLocks/>
        </xdr:cNvSpPr>
      </xdr:nvSpPr>
      <xdr:spPr>
        <a:xfrm>
          <a:off x="2209800" y="1171003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714</xdr:row>
      <xdr:rowOff>9525</xdr:rowOff>
    </xdr:from>
    <xdr:to>
      <xdr:col>4</xdr:col>
      <xdr:colOff>361950</xdr:colOff>
      <xdr:row>715</xdr:row>
      <xdr:rowOff>28575</xdr:rowOff>
    </xdr:to>
    <xdr:sp>
      <xdr:nvSpPr>
        <xdr:cNvPr id="159" name="Line 240"/>
        <xdr:cNvSpPr>
          <a:spLocks/>
        </xdr:cNvSpPr>
      </xdr:nvSpPr>
      <xdr:spPr>
        <a:xfrm>
          <a:off x="3267075" y="117109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714</xdr:row>
      <xdr:rowOff>0</xdr:rowOff>
    </xdr:from>
    <xdr:to>
      <xdr:col>5</xdr:col>
      <xdr:colOff>409575</xdr:colOff>
      <xdr:row>715</xdr:row>
      <xdr:rowOff>0</xdr:rowOff>
    </xdr:to>
    <xdr:sp>
      <xdr:nvSpPr>
        <xdr:cNvPr id="160" name="Line 241"/>
        <xdr:cNvSpPr>
          <a:spLocks/>
        </xdr:cNvSpPr>
      </xdr:nvSpPr>
      <xdr:spPr>
        <a:xfrm flipH="1">
          <a:off x="4000500" y="1171003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716</xdr:row>
      <xdr:rowOff>0</xdr:rowOff>
    </xdr:from>
    <xdr:to>
      <xdr:col>4</xdr:col>
      <xdr:colOff>400050</xdr:colOff>
      <xdr:row>717</xdr:row>
      <xdr:rowOff>104775</xdr:rowOff>
    </xdr:to>
    <xdr:sp>
      <xdr:nvSpPr>
        <xdr:cNvPr id="161" name="Rectangle 242"/>
        <xdr:cNvSpPr>
          <a:spLocks/>
        </xdr:cNvSpPr>
      </xdr:nvSpPr>
      <xdr:spPr>
        <a:xfrm>
          <a:off x="3228975" y="117424200"/>
          <a:ext cx="762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716</xdr:row>
      <xdr:rowOff>85725</xdr:rowOff>
    </xdr:from>
    <xdr:to>
      <xdr:col>4</xdr:col>
      <xdr:colOff>190500</xdr:colOff>
      <xdr:row>716</xdr:row>
      <xdr:rowOff>85725</xdr:rowOff>
    </xdr:to>
    <xdr:sp>
      <xdr:nvSpPr>
        <xdr:cNvPr id="162" name="Line 243"/>
        <xdr:cNvSpPr>
          <a:spLocks/>
        </xdr:cNvSpPr>
      </xdr:nvSpPr>
      <xdr:spPr>
        <a:xfrm>
          <a:off x="2266950" y="1175099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739</xdr:row>
      <xdr:rowOff>19050</xdr:rowOff>
    </xdr:from>
    <xdr:to>
      <xdr:col>5</xdr:col>
      <xdr:colOff>314325</xdr:colOff>
      <xdr:row>739</xdr:row>
      <xdr:rowOff>19050</xdr:rowOff>
    </xdr:to>
    <xdr:sp>
      <xdr:nvSpPr>
        <xdr:cNvPr id="163" name="Line 246"/>
        <xdr:cNvSpPr>
          <a:spLocks/>
        </xdr:cNvSpPr>
      </xdr:nvSpPr>
      <xdr:spPr>
        <a:xfrm>
          <a:off x="1876425" y="12116752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739</xdr:row>
      <xdr:rowOff>28575</xdr:rowOff>
    </xdr:from>
    <xdr:to>
      <xdr:col>4</xdr:col>
      <xdr:colOff>9525</xdr:colOff>
      <xdr:row>742</xdr:row>
      <xdr:rowOff>57150</xdr:rowOff>
    </xdr:to>
    <xdr:sp>
      <xdr:nvSpPr>
        <xdr:cNvPr id="164" name="Line 247"/>
        <xdr:cNvSpPr>
          <a:spLocks/>
        </xdr:cNvSpPr>
      </xdr:nvSpPr>
      <xdr:spPr>
        <a:xfrm>
          <a:off x="1866900" y="121177050"/>
          <a:ext cx="10477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735</xdr:row>
      <xdr:rowOff>142875</xdr:rowOff>
    </xdr:from>
    <xdr:to>
      <xdr:col>3</xdr:col>
      <xdr:colOff>533400</xdr:colOff>
      <xdr:row>739</xdr:row>
      <xdr:rowOff>28575</xdr:rowOff>
    </xdr:to>
    <xdr:sp>
      <xdr:nvSpPr>
        <xdr:cNvPr id="165" name="Line 249"/>
        <xdr:cNvSpPr>
          <a:spLocks/>
        </xdr:cNvSpPr>
      </xdr:nvSpPr>
      <xdr:spPr>
        <a:xfrm flipV="1">
          <a:off x="1866900" y="120643650"/>
          <a:ext cx="533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952500</xdr:colOff>
      <xdr:row>739</xdr:row>
      <xdr:rowOff>38100</xdr:rowOff>
    </xdr:from>
    <xdr:to>
      <xdr:col>4</xdr:col>
      <xdr:colOff>581025</xdr:colOff>
      <xdr:row>742</xdr:row>
      <xdr:rowOff>38100</xdr:rowOff>
    </xdr:to>
    <xdr:sp>
      <xdr:nvSpPr>
        <xdr:cNvPr id="166" name="Line 252"/>
        <xdr:cNvSpPr>
          <a:spLocks/>
        </xdr:cNvSpPr>
      </xdr:nvSpPr>
      <xdr:spPr>
        <a:xfrm flipV="1">
          <a:off x="2819400" y="121186575"/>
          <a:ext cx="66675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736</xdr:row>
      <xdr:rowOff>0</xdr:rowOff>
    </xdr:from>
    <xdr:to>
      <xdr:col>4</xdr:col>
      <xdr:colOff>590550</xdr:colOff>
      <xdr:row>739</xdr:row>
      <xdr:rowOff>38100</xdr:rowOff>
    </xdr:to>
    <xdr:sp>
      <xdr:nvSpPr>
        <xdr:cNvPr id="167" name="Line 253"/>
        <xdr:cNvSpPr>
          <a:spLocks/>
        </xdr:cNvSpPr>
      </xdr:nvSpPr>
      <xdr:spPr>
        <a:xfrm>
          <a:off x="2409825" y="120662700"/>
          <a:ext cx="108585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739</xdr:row>
      <xdr:rowOff>28575</xdr:rowOff>
    </xdr:from>
    <xdr:to>
      <xdr:col>4</xdr:col>
      <xdr:colOff>552450</xdr:colOff>
      <xdr:row>739</xdr:row>
      <xdr:rowOff>28575</xdr:rowOff>
    </xdr:to>
    <xdr:sp>
      <xdr:nvSpPr>
        <xdr:cNvPr id="168" name="Line 254"/>
        <xdr:cNvSpPr>
          <a:spLocks/>
        </xdr:cNvSpPr>
      </xdr:nvSpPr>
      <xdr:spPr>
        <a:xfrm>
          <a:off x="1885950" y="1211770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738</xdr:row>
      <xdr:rowOff>0</xdr:rowOff>
    </xdr:from>
    <xdr:to>
      <xdr:col>3</xdr:col>
      <xdr:colOff>276225</xdr:colOff>
      <xdr:row>740</xdr:row>
      <xdr:rowOff>0</xdr:rowOff>
    </xdr:to>
    <xdr:sp>
      <xdr:nvSpPr>
        <xdr:cNvPr id="169" name="Arc 255"/>
        <xdr:cNvSpPr>
          <a:spLocks/>
        </xdr:cNvSpPr>
      </xdr:nvSpPr>
      <xdr:spPr>
        <a:xfrm>
          <a:off x="2066925" y="120986550"/>
          <a:ext cx="76200" cy="323850"/>
        </a:xfrm>
        <a:custGeom>
          <a:pathLst>
            <a:path fill="none" h="21600" w="20298">
              <a:moveTo>
                <a:pt x="-1" y="0"/>
              </a:moveTo>
              <a:cubicBezTo>
                <a:pt x="9080" y="0"/>
                <a:pt x="17192" y="5679"/>
                <a:pt x="20297" y="14213"/>
              </a:cubicBezTo>
            </a:path>
            <a:path stroke="0" h="21600" w="20298">
              <a:moveTo>
                <a:pt x="-1" y="0"/>
              </a:moveTo>
              <a:cubicBezTo>
                <a:pt x="9080" y="0"/>
                <a:pt x="17192" y="5679"/>
                <a:pt x="20297" y="142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739</xdr:row>
      <xdr:rowOff>9525</xdr:rowOff>
    </xdr:from>
    <xdr:to>
      <xdr:col>3</xdr:col>
      <xdr:colOff>476250</xdr:colOff>
      <xdr:row>740</xdr:row>
      <xdr:rowOff>47625</xdr:rowOff>
    </xdr:to>
    <xdr:sp>
      <xdr:nvSpPr>
        <xdr:cNvPr id="170" name="Arc 256"/>
        <xdr:cNvSpPr>
          <a:spLocks/>
        </xdr:cNvSpPr>
      </xdr:nvSpPr>
      <xdr:spPr>
        <a:xfrm flipH="1">
          <a:off x="2219325" y="121158000"/>
          <a:ext cx="123825" cy="200025"/>
        </a:xfrm>
        <a:custGeom>
          <a:pathLst>
            <a:path fill="none" h="36411" w="29495">
              <a:moveTo>
                <a:pt x="29495" y="34916"/>
              </a:moveTo>
              <a:cubicBezTo>
                <a:pt x="26980" y="35904"/>
                <a:pt x="24302" y="36410"/>
                <a:pt x="21600" y="36411"/>
              </a:cubicBezTo>
              <a:cubicBezTo>
                <a:pt x="9670" y="36411"/>
                <a:pt x="0" y="26740"/>
                <a:pt x="0" y="14811"/>
              </a:cubicBezTo>
              <a:cubicBezTo>
                <a:pt x="-1" y="9305"/>
                <a:pt x="2102" y="4007"/>
                <a:pt x="5877" y="-1"/>
              </a:cubicBezTo>
            </a:path>
            <a:path stroke="0" h="36411" w="29495">
              <a:moveTo>
                <a:pt x="29495" y="34916"/>
              </a:moveTo>
              <a:cubicBezTo>
                <a:pt x="26980" y="35904"/>
                <a:pt x="24302" y="36410"/>
                <a:pt x="21600" y="36411"/>
              </a:cubicBezTo>
              <a:cubicBezTo>
                <a:pt x="9670" y="36411"/>
                <a:pt x="0" y="26740"/>
                <a:pt x="0" y="14811"/>
              </a:cubicBezTo>
              <a:cubicBezTo>
                <a:pt x="-1" y="9305"/>
                <a:pt x="2102" y="4007"/>
                <a:pt x="5877" y="-1"/>
              </a:cubicBezTo>
              <a:lnTo>
                <a:pt x="21600" y="1481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750</xdr:row>
      <xdr:rowOff>9525</xdr:rowOff>
    </xdr:from>
    <xdr:to>
      <xdr:col>5</xdr:col>
      <xdr:colOff>200025</xdr:colOff>
      <xdr:row>750</xdr:row>
      <xdr:rowOff>9525</xdr:rowOff>
    </xdr:to>
    <xdr:sp>
      <xdr:nvSpPr>
        <xdr:cNvPr id="171" name="Line 257"/>
        <xdr:cNvSpPr>
          <a:spLocks/>
        </xdr:cNvSpPr>
      </xdr:nvSpPr>
      <xdr:spPr>
        <a:xfrm>
          <a:off x="1866900" y="1229391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750</xdr:row>
      <xdr:rowOff>28575</xdr:rowOff>
    </xdr:from>
    <xdr:to>
      <xdr:col>4</xdr:col>
      <xdr:colOff>0</xdr:colOff>
      <xdr:row>754</xdr:row>
      <xdr:rowOff>123825</xdr:rowOff>
    </xdr:to>
    <xdr:sp>
      <xdr:nvSpPr>
        <xdr:cNvPr id="172" name="Line 258"/>
        <xdr:cNvSpPr>
          <a:spLocks/>
        </xdr:cNvSpPr>
      </xdr:nvSpPr>
      <xdr:spPr>
        <a:xfrm>
          <a:off x="1876425" y="122958225"/>
          <a:ext cx="10287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750</xdr:row>
      <xdr:rowOff>9525</xdr:rowOff>
    </xdr:from>
    <xdr:to>
      <xdr:col>4</xdr:col>
      <xdr:colOff>9525</xdr:colOff>
      <xdr:row>754</xdr:row>
      <xdr:rowOff>114300</xdr:rowOff>
    </xdr:to>
    <xdr:sp>
      <xdr:nvSpPr>
        <xdr:cNvPr id="173" name="Line 259"/>
        <xdr:cNvSpPr>
          <a:spLocks/>
        </xdr:cNvSpPr>
      </xdr:nvSpPr>
      <xdr:spPr>
        <a:xfrm flipV="1">
          <a:off x="2914650" y="1229391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746</xdr:row>
      <xdr:rowOff>133350</xdr:rowOff>
    </xdr:from>
    <xdr:to>
      <xdr:col>5</xdr:col>
      <xdr:colOff>190500</xdr:colOff>
      <xdr:row>750</xdr:row>
      <xdr:rowOff>9525</xdr:rowOff>
    </xdr:to>
    <xdr:sp>
      <xdr:nvSpPr>
        <xdr:cNvPr id="174" name="Line 260"/>
        <xdr:cNvSpPr>
          <a:spLocks/>
        </xdr:cNvSpPr>
      </xdr:nvSpPr>
      <xdr:spPr>
        <a:xfrm flipV="1">
          <a:off x="2914650" y="122415300"/>
          <a:ext cx="8667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746</xdr:row>
      <xdr:rowOff>114300</xdr:rowOff>
    </xdr:from>
    <xdr:to>
      <xdr:col>5</xdr:col>
      <xdr:colOff>200025</xdr:colOff>
      <xdr:row>750</xdr:row>
      <xdr:rowOff>9525</xdr:rowOff>
    </xdr:to>
    <xdr:sp>
      <xdr:nvSpPr>
        <xdr:cNvPr id="175" name="Line 261"/>
        <xdr:cNvSpPr>
          <a:spLocks/>
        </xdr:cNvSpPr>
      </xdr:nvSpPr>
      <xdr:spPr>
        <a:xfrm flipV="1">
          <a:off x="3790950" y="1223962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738</xdr:row>
      <xdr:rowOff>9525</xdr:rowOff>
    </xdr:from>
    <xdr:to>
      <xdr:col>3</xdr:col>
      <xdr:colOff>257175</xdr:colOff>
      <xdr:row>739</xdr:row>
      <xdr:rowOff>38100</xdr:rowOff>
    </xdr:to>
    <xdr:sp>
      <xdr:nvSpPr>
        <xdr:cNvPr id="176" name="Arc 263"/>
        <xdr:cNvSpPr>
          <a:spLocks/>
        </xdr:cNvSpPr>
      </xdr:nvSpPr>
      <xdr:spPr>
        <a:xfrm>
          <a:off x="2047875" y="120996075"/>
          <a:ext cx="76200" cy="1905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749</xdr:row>
      <xdr:rowOff>0</xdr:rowOff>
    </xdr:from>
    <xdr:to>
      <xdr:col>4</xdr:col>
      <xdr:colOff>352425</xdr:colOff>
      <xdr:row>750</xdr:row>
      <xdr:rowOff>9525</xdr:rowOff>
    </xdr:to>
    <xdr:sp>
      <xdr:nvSpPr>
        <xdr:cNvPr id="177" name="Arc 264"/>
        <xdr:cNvSpPr>
          <a:spLocks/>
        </xdr:cNvSpPr>
      </xdr:nvSpPr>
      <xdr:spPr>
        <a:xfrm>
          <a:off x="3181350" y="122767725"/>
          <a:ext cx="76200" cy="1714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750</xdr:row>
      <xdr:rowOff>9525</xdr:rowOff>
    </xdr:from>
    <xdr:to>
      <xdr:col>3</xdr:col>
      <xdr:colOff>381000</xdr:colOff>
      <xdr:row>751</xdr:row>
      <xdr:rowOff>123825</xdr:rowOff>
    </xdr:to>
    <xdr:sp>
      <xdr:nvSpPr>
        <xdr:cNvPr id="178" name="Arc 265"/>
        <xdr:cNvSpPr>
          <a:spLocks/>
        </xdr:cNvSpPr>
      </xdr:nvSpPr>
      <xdr:spPr>
        <a:xfrm>
          <a:off x="2057400" y="122939175"/>
          <a:ext cx="190500" cy="276225"/>
        </a:xfrm>
        <a:custGeom>
          <a:pathLst>
            <a:path fill="none" h="2375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317"/>
                <a:pt x="21564" y="23035"/>
                <a:pt x="21492" y="23749"/>
              </a:cubicBezTo>
            </a:path>
            <a:path stroke="0" h="2375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317"/>
                <a:pt x="21564" y="23035"/>
                <a:pt x="21492" y="23749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776</xdr:row>
      <xdr:rowOff>28575</xdr:rowOff>
    </xdr:from>
    <xdr:to>
      <xdr:col>2</xdr:col>
      <xdr:colOff>581025</xdr:colOff>
      <xdr:row>785</xdr:row>
      <xdr:rowOff>47625</xdr:rowOff>
    </xdr:to>
    <xdr:sp>
      <xdr:nvSpPr>
        <xdr:cNvPr id="179" name="Line 266"/>
        <xdr:cNvSpPr>
          <a:spLocks/>
        </xdr:cNvSpPr>
      </xdr:nvSpPr>
      <xdr:spPr>
        <a:xfrm>
          <a:off x="1800225" y="127187325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785</xdr:row>
      <xdr:rowOff>47625</xdr:rowOff>
    </xdr:from>
    <xdr:to>
      <xdr:col>6</xdr:col>
      <xdr:colOff>114300</xdr:colOff>
      <xdr:row>785</xdr:row>
      <xdr:rowOff>47625</xdr:rowOff>
    </xdr:to>
    <xdr:sp>
      <xdr:nvSpPr>
        <xdr:cNvPr id="180" name="Line 268"/>
        <xdr:cNvSpPr>
          <a:spLocks/>
        </xdr:cNvSpPr>
      </xdr:nvSpPr>
      <xdr:spPr>
        <a:xfrm>
          <a:off x="1790700" y="1286637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776</xdr:row>
      <xdr:rowOff>66675</xdr:rowOff>
    </xdr:from>
    <xdr:to>
      <xdr:col>5</xdr:col>
      <xdr:colOff>209550</xdr:colOff>
      <xdr:row>785</xdr:row>
      <xdr:rowOff>28575</xdr:rowOff>
    </xdr:to>
    <xdr:sp>
      <xdr:nvSpPr>
        <xdr:cNvPr id="181" name="Arc 269"/>
        <xdr:cNvSpPr>
          <a:spLocks/>
        </xdr:cNvSpPr>
      </xdr:nvSpPr>
      <xdr:spPr>
        <a:xfrm rot="10761388" flipV="1">
          <a:off x="1809750" y="127225425"/>
          <a:ext cx="1990725" cy="14192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779</xdr:row>
      <xdr:rowOff>85725</xdr:rowOff>
    </xdr:from>
    <xdr:to>
      <xdr:col>3</xdr:col>
      <xdr:colOff>438150</xdr:colOff>
      <xdr:row>779</xdr:row>
      <xdr:rowOff>85725</xdr:rowOff>
    </xdr:to>
    <xdr:sp>
      <xdr:nvSpPr>
        <xdr:cNvPr id="182" name="Line 270"/>
        <xdr:cNvSpPr>
          <a:spLocks/>
        </xdr:cNvSpPr>
      </xdr:nvSpPr>
      <xdr:spPr>
        <a:xfrm>
          <a:off x="1809750" y="127730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779</xdr:row>
      <xdr:rowOff>95250</xdr:rowOff>
    </xdr:from>
    <xdr:to>
      <xdr:col>3</xdr:col>
      <xdr:colOff>409575</xdr:colOff>
      <xdr:row>785</xdr:row>
      <xdr:rowOff>47625</xdr:rowOff>
    </xdr:to>
    <xdr:sp>
      <xdr:nvSpPr>
        <xdr:cNvPr id="183" name="Line 271"/>
        <xdr:cNvSpPr>
          <a:spLocks/>
        </xdr:cNvSpPr>
      </xdr:nvSpPr>
      <xdr:spPr>
        <a:xfrm>
          <a:off x="2276475" y="1277397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805</xdr:row>
      <xdr:rowOff>0</xdr:rowOff>
    </xdr:from>
    <xdr:to>
      <xdr:col>5</xdr:col>
      <xdr:colOff>95250</xdr:colOff>
      <xdr:row>805</xdr:row>
      <xdr:rowOff>0</xdr:rowOff>
    </xdr:to>
    <xdr:sp>
      <xdr:nvSpPr>
        <xdr:cNvPr id="184" name="Line 274"/>
        <xdr:cNvSpPr>
          <a:spLocks/>
        </xdr:cNvSpPr>
      </xdr:nvSpPr>
      <xdr:spPr>
        <a:xfrm>
          <a:off x="1809750" y="1318545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805</xdr:row>
      <xdr:rowOff>0</xdr:rowOff>
    </xdr:from>
    <xdr:to>
      <xdr:col>5</xdr:col>
      <xdr:colOff>104775</xdr:colOff>
      <xdr:row>805</xdr:row>
      <xdr:rowOff>0</xdr:rowOff>
    </xdr:to>
    <xdr:sp>
      <xdr:nvSpPr>
        <xdr:cNvPr id="185" name="Line 276"/>
        <xdr:cNvSpPr>
          <a:spLocks/>
        </xdr:cNvSpPr>
      </xdr:nvSpPr>
      <xdr:spPr>
        <a:xfrm>
          <a:off x="1866900" y="1318545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805</xdr:row>
      <xdr:rowOff>0</xdr:rowOff>
    </xdr:from>
    <xdr:to>
      <xdr:col>3</xdr:col>
      <xdr:colOff>733425</xdr:colOff>
      <xdr:row>807</xdr:row>
      <xdr:rowOff>152400</xdr:rowOff>
    </xdr:to>
    <xdr:sp>
      <xdr:nvSpPr>
        <xdr:cNvPr id="186" name="Line 277"/>
        <xdr:cNvSpPr>
          <a:spLocks/>
        </xdr:cNvSpPr>
      </xdr:nvSpPr>
      <xdr:spPr>
        <a:xfrm>
          <a:off x="1809750" y="131854575"/>
          <a:ext cx="7905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807</xdr:row>
      <xdr:rowOff>142875</xdr:rowOff>
    </xdr:from>
    <xdr:to>
      <xdr:col>4</xdr:col>
      <xdr:colOff>85725</xdr:colOff>
      <xdr:row>809</xdr:row>
      <xdr:rowOff>95250</xdr:rowOff>
    </xdr:to>
    <xdr:sp>
      <xdr:nvSpPr>
        <xdr:cNvPr id="187" name="Line 278"/>
        <xdr:cNvSpPr>
          <a:spLocks/>
        </xdr:cNvSpPr>
      </xdr:nvSpPr>
      <xdr:spPr>
        <a:xfrm>
          <a:off x="2581275" y="132321300"/>
          <a:ext cx="40957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805</xdr:row>
      <xdr:rowOff>0</xdr:rowOff>
    </xdr:from>
    <xdr:to>
      <xdr:col>5</xdr:col>
      <xdr:colOff>76200</xdr:colOff>
      <xdr:row>809</xdr:row>
      <xdr:rowOff>95250</xdr:rowOff>
    </xdr:to>
    <xdr:sp>
      <xdr:nvSpPr>
        <xdr:cNvPr id="188" name="Line 279"/>
        <xdr:cNvSpPr>
          <a:spLocks/>
        </xdr:cNvSpPr>
      </xdr:nvSpPr>
      <xdr:spPr>
        <a:xfrm flipV="1">
          <a:off x="2990850" y="131854575"/>
          <a:ext cx="676275" cy="7429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802</xdr:row>
      <xdr:rowOff>66675</xdr:rowOff>
    </xdr:from>
    <xdr:to>
      <xdr:col>5</xdr:col>
      <xdr:colOff>514350</xdr:colOff>
      <xdr:row>805</xdr:row>
      <xdr:rowOff>0</xdr:rowOff>
    </xdr:to>
    <xdr:sp>
      <xdr:nvSpPr>
        <xdr:cNvPr id="189" name="Line 280"/>
        <xdr:cNvSpPr>
          <a:spLocks/>
        </xdr:cNvSpPr>
      </xdr:nvSpPr>
      <xdr:spPr>
        <a:xfrm flipV="1">
          <a:off x="3686175" y="131435475"/>
          <a:ext cx="4191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802</xdr:row>
      <xdr:rowOff>95250</xdr:rowOff>
    </xdr:from>
    <xdr:to>
      <xdr:col>5</xdr:col>
      <xdr:colOff>504825</xdr:colOff>
      <xdr:row>805</xdr:row>
      <xdr:rowOff>0</xdr:rowOff>
    </xdr:to>
    <xdr:sp>
      <xdr:nvSpPr>
        <xdr:cNvPr id="190" name="Line 281"/>
        <xdr:cNvSpPr>
          <a:spLocks/>
        </xdr:cNvSpPr>
      </xdr:nvSpPr>
      <xdr:spPr>
        <a:xfrm flipV="1">
          <a:off x="1809750" y="131464050"/>
          <a:ext cx="22860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805</xdr:row>
      <xdr:rowOff>9525</xdr:rowOff>
    </xdr:from>
    <xdr:to>
      <xdr:col>3</xdr:col>
      <xdr:colOff>438150</xdr:colOff>
      <xdr:row>806</xdr:row>
      <xdr:rowOff>152400</xdr:rowOff>
    </xdr:to>
    <xdr:sp>
      <xdr:nvSpPr>
        <xdr:cNvPr id="191" name="Arc 284"/>
        <xdr:cNvSpPr>
          <a:spLocks/>
        </xdr:cNvSpPr>
      </xdr:nvSpPr>
      <xdr:spPr>
        <a:xfrm>
          <a:off x="2143125" y="131864100"/>
          <a:ext cx="161925" cy="304800"/>
        </a:xfrm>
        <a:custGeom>
          <a:pathLst>
            <a:path fill="none" h="21600" w="21569">
              <a:moveTo>
                <a:pt x="-1" y="0"/>
              </a:moveTo>
              <a:cubicBezTo>
                <a:pt x="11477" y="0"/>
                <a:pt x="20951" y="8976"/>
                <a:pt x="21568" y="20438"/>
              </a:cubicBezTo>
            </a:path>
            <a:path stroke="0" h="21600" w="21569">
              <a:moveTo>
                <a:pt x="-1" y="0"/>
              </a:moveTo>
              <a:cubicBezTo>
                <a:pt x="11477" y="0"/>
                <a:pt x="20951" y="8976"/>
                <a:pt x="21568" y="20438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837</xdr:row>
      <xdr:rowOff>9525</xdr:rowOff>
    </xdr:from>
    <xdr:to>
      <xdr:col>5</xdr:col>
      <xdr:colOff>0</xdr:colOff>
      <xdr:row>837</xdr:row>
      <xdr:rowOff>9525</xdr:rowOff>
    </xdr:to>
    <xdr:sp>
      <xdr:nvSpPr>
        <xdr:cNvPr id="192" name="Line 286"/>
        <xdr:cNvSpPr>
          <a:spLocks/>
        </xdr:cNvSpPr>
      </xdr:nvSpPr>
      <xdr:spPr>
        <a:xfrm>
          <a:off x="1876425" y="137064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835</xdr:row>
      <xdr:rowOff>0</xdr:rowOff>
    </xdr:from>
    <xdr:to>
      <xdr:col>3</xdr:col>
      <xdr:colOff>638175</xdr:colOff>
      <xdr:row>837</xdr:row>
      <xdr:rowOff>9525</xdr:rowOff>
    </xdr:to>
    <xdr:sp>
      <xdr:nvSpPr>
        <xdr:cNvPr id="193" name="Line 287"/>
        <xdr:cNvSpPr>
          <a:spLocks/>
        </xdr:cNvSpPr>
      </xdr:nvSpPr>
      <xdr:spPr>
        <a:xfrm flipV="1">
          <a:off x="1876425" y="136731375"/>
          <a:ext cx="628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837</xdr:row>
      <xdr:rowOff>28575</xdr:rowOff>
    </xdr:from>
    <xdr:to>
      <xdr:col>4</xdr:col>
      <xdr:colOff>571500</xdr:colOff>
      <xdr:row>839</xdr:row>
      <xdr:rowOff>9525</xdr:rowOff>
    </xdr:to>
    <xdr:sp>
      <xdr:nvSpPr>
        <xdr:cNvPr id="194" name="Line 288"/>
        <xdr:cNvSpPr>
          <a:spLocks/>
        </xdr:cNvSpPr>
      </xdr:nvSpPr>
      <xdr:spPr>
        <a:xfrm flipH="1">
          <a:off x="2914650" y="137083800"/>
          <a:ext cx="5619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839</xdr:row>
      <xdr:rowOff>9525</xdr:rowOff>
    </xdr:from>
    <xdr:to>
      <xdr:col>5</xdr:col>
      <xdr:colOff>9525</xdr:colOff>
      <xdr:row>845</xdr:row>
      <xdr:rowOff>133350</xdr:rowOff>
    </xdr:to>
    <xdr:sp>
      <xdr:nvSpPr>
        <xdr:cNvPr id="195" name="Line 289"/>
        <xdr:cNvSpPr>
          <a:spLocks/>
        </xdr:cNvSpPr>
      </xdr:nvSpPr>
      <xdr:spPr>
        <a:xfrm>
          <a:off x="2924175" y="137388600"/>
          <a:ext cx="6762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836</xdr:row>
      <xdr:rowOff>152400</xdr:rowOff>
    </xdr:from>
    <xdr:to>
      <xdr:col>4</xdr:col>
      <xdr:colOff>628650</xdr:colOff>
      <xdr:row>845</xdr:row>
      <xdr:rowOff>66675</xdr:rowOff>
    </xdr:to>
    <xdr:sp>
      <xdr:nvSpPr>
        <xdr:cNvPr id="196" name="Line 290"/>
        <xdr:cNvSpPr>
          <a:spLocks/>
        </xdr:cNvSpPr>
      </xdr:nvSpPr>
      <xdr:spPr>
        <a:xfrm>
          <a:off x="1914525" y="137045700"/>
          <a:ext cx="16192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836</xdr:row>
      <xdr:rowOff>28575</xdr:rowOff>
    </xdr:from>
    <xdr:to>
      <xdr:col>3</xdr:col>
      <xdr:colOff>342900</xdr:colOff>
      <xdr:row>837</xdr:row>
      <xdr:rowOff>9525</xdr:rowOff>
    </xdr:to>
    <xdr:sp>
      <xdr:nvSpPr>
        <xdr:cNvPr id="197" name="Arc 291"/>
        <xdr:cNvSpPr>
          <a:spLocks/>
        </xdr:cNvSpPr>
      </xdr:nvSpPr>
      <xdr:spPr>
        <a:xfrm>
          <a:off x="2133600" y="136921875"/>
          <a:ext cx="76200" cy="1428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837</xdr:row>
      <xdr:rowOff>9525</xdr:rowOff>
    </xdr:from>
    <xdr:to>
      <xdr:col>3</xdr:col>
      <xdr:colOff>438150</xdr:colOff>
      <xdr:row>838</xdr:row>
      <xdr:rowOff>85725</xdr:rowOff>
    </xdr:to>
    <xdr:sp>
      <xdr:nvSpPr>
        <xdr:cNvPr id="198" name="Arc 292"/>
        <xdr:cNvSpPr>
          <a:spLocks/>
        </xdr:cNvSpPr>
      </xdr:nvSpPr>
      <xdr:spPr>
        <a:xfrm flipV="1">
          <a:off x="2190750" y="137064750"/>
          <a:ext cx="114300" cy="238125"/>
        </a:xfrm>
        <a:custGeom>
          <a:pathLst>
            <a:path fill="none" h="21600" w="21601">
              <a:moveTo>
                <a:pt x="0" y="0"/>
              </a:moveTo>
              <a:cubicBezTo>
                <a:pt x="0" y="0"/>
                <a:pt x="0" y="-1"/>
                <a:pt x="1" y="0"/>
              </a:cubicBezTo>
              <a:cubicBezTo>
                <a:pt x="11930" y="0"/>
                <a:pt x="21601" y="9670"/>
                <a:pt x="21601" y="21600"/>
              </a:cubicBezTo>
            </a:path>
            <a:path stroke="0" h="21600" w="21601">
              <a:moveTo>
                <a:pt x="0" y="0"/>
              </a:moveTo>
              <a:cubicBezTo>
                <a:pt x="0" y="0"/>
                <a:pt x="0" y="-1"/>
                <a:pt x="1" y="0"/>
              </a:cubicBezTo>
              <a:cubicBezTo>
                <a:pt x="11930" y="0"/>
                <a:pt x="21601" y="9670"/>
                <a:pt x="21601" y="21600"/>
              </a:cubicBezTo>
              <a:lnTo>
                <a:pt x="1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857</xdr:row>
      <xdr:rowOff>133350</xdr:rowOff>
    </xdr:from>
    <xdr:to>
      <xdr:col>3</xdr:col>
      <xdr:colOff>9525</xdr:colOff>
      <xdr:row>858</xdr:row>
      <xdr:rowOff>142875</xdr:rowOff>
    </xdr:to>
    <xdr:sp>
      <xdr:nvSpPr>
        <xdr:cNvPr id="199" name="Oval 293"/>
        <xdr:cNvSpPr>
          <a:spLocks/>
        </xdr:cNvSpPr>
      </xdr:nvSpPr>
      <xdr:spPr>
        <a:xfrm>
          <a:off x="1657350" y="140427075"/>
          <a:ext cx="2190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855</xdr:row>
      <xdr:rowOff>38100</xdr:rowOff>
    </xdr:from>
    <xdr:to>
      <xdr:col>2</xdr:col>
      <xdr:colOff>523875</xdr:colOff>
      <xdr:row>857</xdr:row>
      <xdr:rowOff>133350</xdr:rowOff>
    </xdr:to>
    <xdr:sp>
      <xdr:nvSpPr>
        <xdr:cNvPr id="200" name="Line 294"/>
        <xdr:cNvSpPr>
          <a:spLocks/>
        </xdr:cNvSpPr>
      </xdr:nvSpPr>
      <xdr:spPr>
        <a:xfrm flipV="1">
          <a:off x="1743075" y="1400079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859</xdr:row>
      <xdr:rowOff>0</xdr:rowOff>
    </xdr:from>
    <xdr:to>
      <xdr:col>2</xdr:col>
      <xdr:colOff>523875</xdr:colOff>
      <xdr:row>861</xdr:row>
      <xdr:rowOff>114300</xdr:rowOff>
    </xdr:to>
    <xdr:sp>
      <xdr:nvSpPr>
        <xdr:cNvPr id="201" name="Line 295"/>
        <xdr:cNvSpPr>
          <a:spLocks/>
        </xdr:cNvSpPr>
      </xdr:nvSpPr>
      <xdr:spPr>
        <a:xfrm>
          <a:off x="1743075" y="140617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855</xdr:row>
      <xdr:rowOff>38100</xdr:rowOff>
    </xdr:from>
    <xdr:to>
      <xdr:col>3</xdr:col>
      <xdr:colOff>809625</xdr:colOff>
      <xdr:row>855</xdr:row>
      <xdr:rowOff>38100</xdr:rowOff>
    </xdr:to>
    <xdr:sp>
      <xdr:nvSpPr>
        <xdr:cNvPr id="202" name="Line 296"/>
        <xdr:cNvSpPr>
          <a:spLocks/>
        </xdr:cNvSpPr>
      </xdr:nvSpPr>
      <xdr:spPr>
        <a:xfrm>
          <a:off x="1743075" y="1400079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819150</xdr:colOff>
      <xdr:row>854</xdr:row>
      <xdr:rowOff>123825</xdr:rowOff>
    </xdr:from>
    <xdr:to>
      <xdr:col>4</xdr:col>
      <xdr:colOff>438150</xdr:colOff>
      <xdr:row>855</xdr:row>
      <xdr:rowOff>95250</xdr:rowOff>
    </xdr:to>
    <xdr:sp>
      <xdr:nvSpPr>
        <xdr:cNvPr id="203" name="Rectangle 297"/>
        <xdr:cNvSpPr>
          <a:spLocks/>
        </xdr:cNvSpPr>
      </xdr:nvSpPr>
      <xdr:spPr>
        <a:xfrm>
          <a:off x="2686050" y="139931775"/>
          <a:ext cx="6572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854</xdr:row>
      <xdr:rowOff>95250</xdr:rowOff>
    </xdr:from>
    <xdr:to>
      <xdr:col>5</xdr:col>
      <xdr:colOff>95250</xdr:colOff>
      <xdr:row>855</xdr:row>
      <xdr:rowOff>0</xdr:rowOff>
    </xdr:to>
    <xdr:sp>
      <xdr:nvSpPr>
        <xdr:cNvPr id="204" name="Arc 299"/>
        <xdr:cNvSpPr>
          <a:spLocks/>
        </xdr:cNvSpPr>
      </xdr:nvSpPr>
      <xdr:spPr>
        <a:xfrm flipH="1">
          <a:off x="3609975" y="139903200"/>
          <a:ext cx="76200" cy="666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854</xdr:row>
      <xdr:rowOff>95250</xdr:rowOff>
    </xdr:from>
    <xdr:to>
      <xdr:col>5</xdr:col>
      <xdr:colOff>276225</xdr:colOff>
      <xdr:row>855</xdr:row>
      <xdr:rowOff>0</xdr:rowOff>
    </xdr:to>
    <xdr:sp>
      <xdr:nvSpPr>
        <xdr:cNvPr id="205" name="Arc 300"/>
        <xdr:cNvSpPr>
          <a:spLocks/>
        </xdr:cNvSpPr>
      </xdr:nvSpPr>
      <xdr:spPr>
        <a:xfrm flipH="1">
          <a:off x="3790950" y="139903200"/>
          <a:ext cx="76200" cy="666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854</xdr:row>
      <xdr:rowOff>95250</xdr:rowOff>
    </xdr:from>
    <xdr:to>
      <xdr:col>5</xdr:col>
      <xdr:colOff>371475</xdr:colOff>
      <xdr:row>855</xdr:row>
      <xdr:rowOff>19050</xdr:rowOff>
    </xdr:to>
    <xdr:sp>
      <xdr:nvSpPr>
        <xdr:cNvPr id="206" name="Arc 301"/>
        <xdr:cNvSpPr>
          <a:spLocks/>
        </xdr:cNvSpPr>
      </xdr:nvSpPr>
      <xdr:spPr>
        <a:xfrm>
          <a:off x="3876675" y="139903200"/>
          <a:ext cx="8572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854</xdr:row>
      <xdr:rowOff>95250</xdr:rowOff>
    </xdr:from>
    <xdr:to>
      <xdr:col>5</xdr:col>
      <xdr:colOff>200025</xdr:colOff>
      <xdr:row>855</xdr:row>
      <xdr:rowOff>19050</xdr:rowOff>
    </xdr:to>
    <xdr:sp>
      <xdr:nvSpPr>
        <xdr:cNvPr id="207" name="Arc 302"/>
        <xdr:cNvSpPr>
          <a:spLocks/>
        </xdr:cNvSpPr>
      </xdr:nvSpPr>
      <xdr:spPr>
        <a:xfrm>
          <a:off x="3705225" y="139903200"/>
          <a:ext cx="8572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855</xdr:row>
      <xdr:rowOff>9525</xdr:rowOff>
    </xdr:from>
    <xdr:to>
      <xdr:col>5</xdr:col>
      <xdr:colOff>28575</xdr:colOff>
      <xdr:row>855</xdr:row>
      <xdr:rowOff>9525</xdr:rowOff>
    </xdr:to>
    <xdr:sp>
      <xdr:nvSpPr>
        <xdr:cNvPr id="208" name="Line 303"/>
        <xdr:cNvSpPr>
          <a:spLocks/>
        </xdr:cNvSpPr>
      </xdr:nvSpPr>
      <xdr:spPr>
        <a:xfrm>
          <a:off x="3343275" y="139979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855</xdr:row>
      <xdr:rowOff>9525</xdr:rowOff>
    </xdr:from>
    <xdr:to>
      <xdr:col>6</xdr:col>
      <xdr:colOff>409575</xdr:colOff>
      <xdr:row>855</xdr:row>
      <xdr:rowOff>9525</xdr:rowOff>
    </xdr:to>
    <xdr:sp>
      <xdr:nvSpPr>
        <xdr:cNvPr id="209" name="Line 304"/>
        <xdr:cNvSpPr>
          <a:spLocks/>
        </xdr:cNvSpPr>
      </xdr:nvSpPr>
      <xdr:spPr>
        <a:xfrm>
          <a:off x="3971925" y="1399794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861</xdr:row>
      <xdr:rowOff>104775</xdr:rowOff>
    </xdr:from>
    <xdr:to>
      <xdr:col>6</xdr:col>
      <xdr:colOff>438150</xdr:colOff>
      <xdr:row>861</xdr:row>
      <xdr:rowOff>104775</xdr:rowOff>
    </xdr:to>
    <xdr:sp>
      <xdr:nvSpPr>
        <xdr:cNvPr id="210" name="Line 305"/>
        <xdr:cNvSpPr>
          <a:spLocks/>
        </xdr:cNvSpPr>
      </xdr:nvSpPr>
      <xdr:spPr>
        <a:xfrm>
          <a:off x="1743075" y="14104620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857</xdr:row>
      <xdr:rowOff>57150</xdr:rowOff>
    </xdr:from>
    <xdr:to>
      <xdr:col>3</xdr:col>
      <xdr:colOff>123825</xdr:colOff>
      <xdr:row>860</xdr:row>
      <xdr:rowOff>38100</xdr:rowOff>
    </xdr:to>
    <xdr:sp>
      <xdr:nvSpPr>
        <xdr:cNvPr id="211" name="Line 306"/>
        <xdr:cNvSpPr>
          <a:spLocks/>
        </xdr:cNvSpPr>
      </xdr:nvSpPr>
      <xdr:spPr>
        <a:xfrm flipV="1">
          <a:off x="1990725" y="1403508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855</xdr:row>
      <xdr:rowOff>123825</xdr:rowOff>
    </xdr:from>
    <xdr:to>
      <xdr:col>6</xdr:col>
      <xdr:colOff>419100</xdr:colOff>
      <xdr:row>861</xdr:row>
      <xdr:rowOff>19050</xdr:rowOff>
    </xdr:to>
    <xdr:sp>
      <xdr:nvSpPr>
        <xdr:cNvPr id="212" name="Line 307"/>
        <xdr:cNvSpPr>
          <a:spLocks/>
        </xdr:cNvSpPr>
      </xdr:nvSpPr>
      <xdr:spPr>
        <a:xfrm flipV="1">
          <a:off x="4619625" y="1400937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855</xdr:row>
      <xdr:rowOff>9525</xdr:rowOff>
    </xdr:from>
    <xdr:to>
      <xdr:col>6</xdr:col>
      <xdr:colOff>295275</xdr:colOff>
      <xdr:row>855</xdr:row>
      <xdr:rowOff>9525</xdr:rowOff>
    </xdr:to>
    <xdr:sp>
      <xdr:nvSpPr>
        <xdr:cNvPr id="213" name="Line 308"/>
        <xdr:cNvSpPr>
          <a:spLocks/>
        </xdr:cNvSpPr>
      </xdr:nvSpPr>
      <xdr:spPr>
        <a:xfrm>
          <a:off x="4152900" y="1399794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474</xdr:row>
      <xdr:rowOff>9525</xdr:rowOff>
    </xdr:from>
    <xdr:to>
      <xdr:col>4</xdr:col>
      <xdr:colOff>514350</xdr:colOff>
      <xdr:row>474</xdr:row>
      <xdr:rowOff>9525</xdr:rowOff>
    </xdr:to>
    <xdr:sp>
      <xdr:nvSpPr>
        <xdr:cNvPr id="214" name="Line 311"/>
        <xdr:cNvSpPr>
          <a:spLocks/>
        </xdr:cNvSpPr>
      </xdr:nvSpPr>
      <xdr:spPr>
        <a:xfrm>
          <a:off x="1219200" y="7815262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462</xdr:row>
      <xdr:rowOff>123825</xdr:rowOff>
    </xdr:from>
    <xdr:to>
      <xdr:col>4</xdr:col>
      <xdr:colOff>514350</xdr:colOff>
      <xdr:row>474</xdr:row>
      <xdr:rowOff>0</xdr:rowOff>
    </xdr:to>
    <xdr:sp>
      <xdr:nvSpPr>
        <xdr:cNvPr id="215" name="Line 312"/>
        <xdr:cNvSpPr>
          <a:spLocks/>
        </xdr:cNvSpPr>
      </xdr:nvSpPr>
      <xdr:spPr>
        <a:xfrm flipV="1">
          <a:off x="3419475" y="7632382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462</xdr:row>
      <xdr:rowOff>123825</xdr:rowOff>
    </xdr:from>
    <xdr:to>
      <xdr:col>1</xdr:col>
      <xdr:colOff>600075</xdr:colOff>
      <xdr:row>474</xdr:row>
      <xdr:rowOff>9525</xdr:rowOff>
    </xdr:to>
    <xdr:sp>
      <xdr:nvSpPr>
        <xdr:cNvPr id="216" name="Line 313"/>
        <xdr:cNvSpPr>
          <a:spLocks/>
        </xdr:cNvSpPr>
      </xdr:nvSpPr>
      <xdr:spPr>
        <a:xfrm flipV="1">
          <a:off x="1209675" y="76323825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952500</xdr:colOff>
      <xdr:row>470</xdr:row>
      <xdr:rowOff>133350</xdr:rowOff>
    </xdr:from>
    <xdr:to>
      <xdr:col>5</xdr:col>
      <xdr:colOff>523875</xdr:colOff>
      <xdr:row>474</xdr:row>
      <xdr:rowOff>9525</xdr:rowOff>
    </xdr:to>
    <xdr:sp>
      <xdr:nvSpPr>
        <xdr:cNvPr id="217" name="Freeform 318"/>
        <xdr:cNvSpPr>
          <a:spLocks/>
        </xdr:cNvSpPr>
      </xdr:nvSpPr>
      <xdr:spPr>
        <a:xfrm>
          <a:off x="2819400" y="77628750"/>
          <a:ext cx="1295400" cy="523875"/>
        </a:xfrm>
        <a:custGeom>
          <a:pathLst>
            <a:path h="55" w="128">
              <a:moveTo>
                <a:pt x="0" y="53"/>
              </a:moveTo>
              <a:cubicBezTo>
                <a:pt x="3" y="24"/>
                <a:pt x="14" y="4"/>
                <a:pt x="44" y="0"/>
              </a:cubicBezTo>
              <a:cubicBezTo>
                <a:pt x="52" y="0"/>
                <a:pt x="61" y="0"/>
                <a:pt x="69" y="1"/>
              </a:cubicBezTo>
              <a:cubicBezTo>
                <a:pt x="89" y="2"/>
                <a:pt x="96" y="15"/>
                <a:pt x="111" y="25"/>
              </a:cubicBezTo>
              <a:cubicBezTo>
                <a:pt x="115" y="31"/>
                <a:pt x="118" y="37"/>
                <a:pt x="122" y="43"/>
              </a:cubicBezTo>
              <a:cubicBezTo>
                <a:pt x="124" y="47"/>
                <a:pt x="128" y="55"/>
                <a:pt x="128" y="5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467</xdr:row>
      <xdr:rowOff>57150</xdr:rowOff>
    </xdr:from>
    <xdr:to>
      <xdr:col>7</xdr:col>
      <xdr:colOff>38100</xdr:colOff>
      <xdr:row>474</xdr:row>
      <xdr:rowOff>19050</xdr:rowOff>
    </xdr:to>
    <xdr:sp>
      <xdr:nvSpPr>
        <xdr:cNvPr id="218" name="Freeform 319"/>
        <xdr:cNvSpPr>
          <a:spLocks/>
        </xdr:cNvSpPr>
      </xdr:nvSpPr>
      <xdr:spPr>
        <a:xfrm>
          <a:off x="2124075" y="77066775"/>
          <a:ext cx="2724150" cy="1095375"/>
        </a:xfrm>
        <a:custGeom>
          <a:pathLst>
            <a:path h="115" w="278">
              <a:moveTo>
                <a:pt x="0" y="112"/>
              </a:moveTo>
              <a:cubicBezTo>
                <a:pt x="0" y="105"/>
                <a:pt x="0" y="98"/>
                <a:pt x="1" y="91"/>
              </a:cubicBezTo>
              <a:cubicBezTo>
                <a:pt x="2" y="85"/>
                <a:pt x="19" y="56"/>
                <a:pt x="24" y="53"/>
              </a:cubicBezTo>
              <a:cubicBezTo>
                <a:pt x="27" y="43"/>
                <a:pt x="38" y="36"/>
                <a:pt x="46" y="29"/>
              </a:cubicBezTo>
              <a:cubicBezTo>
                <a:pt x="65" y="12"/>
                <a:pt x="93" y="3"/>
                <a:pt x="119" y="0"/>
              </a:cubicBezTo>
              <a:cubicBezTo>
                <a:pt x="140" y="1"/>
                <a:pt x="153" y="2"/>
                <a:pt x="172" y="7"/>
              </a:cubicBezTo>
              <a:cubicBezTo>
                <a:pt x="182" y="9"/>
                <a:pt x="188" y="16"/>
                <a:pt x="198" y="18"/>
              </a:cubicBezTo>
              <a:cubicBezTo>
                <a:pt x="202" y="21"/>
                <a:pt x="206" y="24"/>
                <a:pt x="211" y="26"/>
              </a:cubicBezTo>
              <a:cubicBezTo>
                <a:pt x="220" y="33"/>
                <a:pt x="230" y="38"/>
                <a:pt x="239" y="46"/>
              </a:cubicBezTo>
              <a:cubicBezTo>
                <a:pt x="245" y="51"/>
                <a:pt x="248" y="58"/>
                <a:pt x="254" y="62"/>
              </a:cubicBezTo>
              <a:cubicBezTo>
                <a:pt x="256" y="67"/>
                <a:pt x="258" y="71"/>
                <a:pt x="262" y="75"/>
              </a:cubicBezTo>
              <a:cubicBezTo>
                <a:pt x="264" y="80"/>
                <a:pt x="266" y="83"/>
                <a:pt x="269" y="87"/>
              </a:cubicBezTo>
              <a:cubicBezTo>
                <a:pt x="274" y="95"/>
                <a:pt x="271" y="108"/>
                <a:pt x="278" y="11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464</xdr:row>
      <xdr:rowOff>9525</xdr:rowOff>
    </xdr:from>
    <xdr:to>
      <xdr:col>8</xdr:col>
      <xdr:colOff>133350</xdr:colOff>
      <xdr:row>474</xdr:row>
      <xdr:rowOff>9525</xdr:rowOff>
    </xdr:to>
    <xdr:sp>
      <xdr:nvSpPr>
        <xdr:cNvPr id="219" name="Freeform 320"/>
        <xdr:cNvSpPr>
          <a:spLocks/>
        </xdr:cNvSpPr>
      </xdr:nvSpPr>
      <xdr:spPr>
        <a:xfrm>
          <a:off x="1495425" y="76533375"/>
          <a:ext cx="4057650" cy="1619250"/>
        </a:xfrm>
        <a:custGeom>
          <a:pathLst>
            <a:path h="170" w="414">
              <a:moveTo>
                <a:pt x="0" y="169"/>
              </a:moveTo>
              <a:cubicBezTo>
                <a:pt x="1" y="165"/>
                <a:pt x="0" y="162"/>
                <a:pt x="1" y="158"/>
              </a:cubicBezTo>
              <a:cubicBezTo>
                <a:pt x="3" y="143"/>
                <a:pt x="5" y="122"/>
                <a:pt x="11" y="108"/>
              </a:cubicBezTo>
              <a:cubicBezTo>
                <a:pt x="23" y="82"/>
                <a:pt x="48" y="54"/>
                <a:pt x="72" y="38"/>
              </a:cubicBezTo>
              <a:cubicBezTo>
                <a:pt x="77" y="31"/>
                <a:pt x="89" y="24"/>
                <a:pt x="98" y="23"/>
              </a:cubicBezTo>
              <a:cubicBezTo>
                <a:pt x="104" y="20"/>
                <a:pt x="105" y="19"/>
                <a:pt x="113" y="18"/>
              </a:cubicBezTo>
              <a:cubicBezTo>
                <a:pt x="123" y="15"/>
                <a:pt x="132" y="9"/>
                <a:pt x="143" y="8"/>
              </a:cubicBezTo>
              <a:cubicBezTo>
                <a:pt x="157" y="3"/>
                <a:pt x="176" y="5"/>
                <a:pt x="191" y="3"/>
              </a:cubicBezTo>
              <a:cubicBezTo>
                <a:pt x="236" y="4"/>
                <a:pt x="302" y="0"/>
                <a:pt x="343" y="27"/>
              </a:cubicBezTo>
              <a:cubicBezTo>
                <a:pt x="345" y="34"/>
                <a:pt x="353" y="38"/>
                <a:pt x="361" y="41"/>
              </a:cubicBezTo>
              <a:cubicBezTo>
                <a:pt x="367" y="47"/>
                <a:pt x="368" y="54"/>
                <a:pt x="373" y="61"/>
              </a:cubicBezTo>
              <a:cubicBezTo>
                <a:pt x="390" y="83"/>
                <a:pt x="397" y="106"/>
                <a:pt x="406" y="133"/>
              </a:cubicBezTo>
              <a:cubicBezTo>
                <a:pt x="407" y="142"/>
                <a:pt x="410" y="150"/>
                <a:pt x="412" y="159"/>
              </a:cubicBezTo>
              <a:cubicBezTo>
                <a:pt x="413" y="163"/>
                <a:pt x="414" y="170"/>
                <a:pt x="414" y="17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472</xdr:row>
      <xdr:rowOff>76200</xdr:rowOff>
    </xdr:from>
    <xdr:to>
      <xdr:col>5</xdr:col>
      <xdr:colOff>180975</xdr:colOff>
      <xdr:row>474</xdr:row>
      <xdr:rowOff>0</xdr:rowOff>
    </xdr:to>
    <xdr:sp>
      <xdr:nvSpPr>
        <xdr:cNvPr id="220" name="Freeform 321"/>
        <xdr:cNvSpPr>
          <a:spLocks/>
        </xdr:cNvSpPr>
      </xdr:nvSpPr>
      <xdr:spPr>
        <a:xfrm>
          <a:off x="3124200" y="77895450"/>
          <a:ext cx="647700" cy="247650"/>
        </a:xfrm>
        <a:custGeom>
          <a:pathLst>
            <a:path h="26" w="60">
              <a:moveTo>
                <a:pt x="0" y="25"/>
              </a:moveTo>
              <a:cubicBezTo>
                <a:pt x="4" y="13"/>
                <a:pt x="11" y="3"/>
                <a:pt x="24" y="0"/>
              </a:cubicBezTo>
              <a:cubicBezTo>
                <a:pt x="35" y="1"/>
                <a:pt x="38" y="2"/>
                <a:pt x="47" y="5"/>
              </a:cubicBezTo>
              <a:cubicBezTo>
                <a:pt x="50" y="9"/>
                <a:pt x="53" y="13"/>
                <a:pt x="56" y="17"/>
              </a:cubicBezTo>
              <a:cubicBezTo>
                <a:pt x="58" y="20"/>
                <a:pt x="60" y="26"/>
                <a:pt x="6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469</xdr:row>
      <xdr:rowOff>66675</xdr:rowOff>
    </xdr:from>
    <xdr:to>
      <xdr:col>6</xdr:col>
      <xdr:colOff>257175</xdr:colOff>
      <xdr:row>474</xdr:row>
      <xdr:rowOff>19050</xdr:rowOff>
    </xdr:to>
    <xdr:sp>
      <xdr:nvSpPr>
        <xdr:cNvPr id="221" name="Freeform 322"/>
        <xdr:cNvSpPr>
          <a:spLocks/>
        </xdr:cNvSpPr>
      </xdr:nvSpPr>
      <xdr:spPr>
        <a:xfrm>
          <a:off x="2466975" y="77400150"/>
          <a:ext cx="1990725" cy="762000"/>
        </a:xfrm>
        <a:custGeom>
          <a:pathLst>
            <a:path h="80" w="201">
              <a:moveTo>
                <a:pt x="0" y="77"/>
              </a:moveTo>
              <a:cubicBezTo>
                <a:pt x="16" y="61"/>
                <a:pt x="13" y="35"/>
                <a:pt x="33" y="22"/>
              </a:cubicBezTo>
              <a:cubicBezTo>
                <a:pt x="45" y="4"/>
                <a:pt x="67" y="6"/>
                <a:pt x="86" y="0"/>
              </a:cubicBezTo>
              <a:cubicBezTo>
                <a:pt x="106" y="1"/>
                <a:pt x="120" y="5"/>
                <a:pt x="138" y="11"/>
              </a:cubicBezTo>
              <a:cubicBezTo>
                <a:pt x="147" y="18"/>
                <a:pt x="143" y="16"/>
                <a:pt x="149" y="18"/>
              </a:cubicBezTo>
              <a:cubicBezTo>
                <a:pt x="157" y="26"/>
                <a:pt x="166" y="32"/>
                <a:pt x="174" y="39"/>
              </a:cubicBezTo>
              <a:cubicBezTo>
                <a:pt x="177" y="42"/>
                <a:pt x="180" y="45"/>
                <a:pt x="183" y="48"/>
              </a:cubicBezTo>
              <a:cubicBezTo>
                <a:pt x="184" y="49"/>
                <a:pt x="186" y="51"/>
                <a:pt x="186" y="51"/>
              </a:cubicBezTo>
              <a:cubicBezTo>
                <a:pt x="189" y="61"/>
                <a:pt x="196" y="71"/>
                <a:pt x="201" y="8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465</xdr:row>
      <xdr:rowOff>85725</xdr:rowOff>
    </xdr:from>
    <xdr:to>
      <xdr:col>7</xdr:col>
      <xdr:colOff>438150</xdr:colOff>
      <xdr:row>474</xdr:row>
      <xdr:rowOff>0</xdr:rowOff>
    </xdr:to>
    <xdr:sp>
      <xdr:nvSpPr>
        <xdr:cNvPr id="222" name="Freeform 323"/>
        <xdr:cNvSpPr>
          <a:spLocks/>
        </xdr:cNvSpPr>
      </xdr:nvSpPr>
      <xdr:spPr>
        <a:xfrm>
          <a:off x="1771650" y="76771500"/>
          <a:ext cx="3476625" cy="1371600"/>
        </a:xfrm>
        <a:custGeom>
          <a:pathLst>
            <a:path h="144" w="353">
              <a:moveTo>
                <a:pt x="0" y="143"/>
              </a:moveTo>
              <a:cubicBezTo>
                <a:pt x="3" y="139"/>
                <a:pt x="3" y="134"/>
                <a:pt x="5" y="129"/>
              </a:cubicBezTo>
              <a:cubicBezTo>
                <a:pt x="12" y="83"/>
                <a:pt x="34" y="59"/>
                <a:pt x="70" y="34"/>
              </a:cubicBezTo>
              <a:cubicBezTo>
                <a:pt x="88" y="21"/>
                <a:pt x="98" y="14"/>
                <a:pt x="121" y="12"/>
              </a:cubicBezTo>
              <a:cubicBezTo>
                <a:pt x="127" y="11"/>
                <a:pt x="133" y="10"/>
                <a:pt x="139" y="9"/>
              </a:cubicBezTo>
              <a:cubicBezTo>
                <a:pt x="151" y="3"/>
                <a:pt x="177" y="1"/>
                <a:pt x="192" y="0"/>
              </a:cubicBezTo>
              <a:cubicBezTo>
                <a:pt x="222" y="2"/>
                <a:pt x="211" y="1"/>
                <a:pt x="227" y="3"/>
              </a:cubicBezTo>
              <a:cubicBezTo>
                <a:pt x="240" y="7"/>
                <a:pt x="250" y="22"/>
                <a:pt x="266" y="27"/>
              </a:cubicBezTo>
              <a:cubicBezTo>
                <a:pt x="269" y="28"/>
                <a:pt x="280" y="30"/>
                <a:pt x="284" y="34"/>
              </a:cubicBezTo>
              <a:cubicBezTo>
                <a:pt x="286" y="36"/>
                <a:pt x="290" y="40"/>
                <a:pt x="290" y="40"/>
              </a:cubicBezTo>
              <a:cubicBezTo>
                <a:pt x="297" y="56"/>
                <a:pt x="306" y="67"/>
                <a:pt x="321" y="77"/>
              </a:cubicBezTo>
              <a:cubicBezTo>
                <a:pt x="324" y="81"/>
                <a:pt x="328" y="84"/>
                <a:pt x="331" y="89"/>
              </a:cubicBezTo>
              <a:cubicBezTo>
                <a:pt x="336" y="98"/>
                <a:pt x="340" y="107"/>
                <a:pt x="345" y="115"/>
              </a:cubicBezTo>
              <a:cubicBezTo>
                <a:pt x="347" y="124"/>
                <a:pt x="353" y="135"/>
                <a:pt x="353" y="14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462</xdr:row>
      <xdr:rowOff>152400</xdr:rowOff>
    </xdr:from>
    <xdr:to>
      <xdr:col>4</xdr:col>
      <xdr:colOff>571500</xdr:colOff>
      <xdr:row>474</xdr:row>
      <xdr:rowOff>19050</xdr:rowOff>
    </xdr:to>
    <xdr:sp>
      <xdr:nvSpPr>
        <xdr:cNvPr id="223" name="Freeform 324"/>
        <xdr:cNvSpPr>
          <a:spLocks/>
        </xdr:cNvSpPr>
      </xdr:nvSpPr>
      <xdr:spPr>
        <a:xfrm>
          <a:off x="1238250" y="76352400"/>
          <a:ext cx="2238375" cy="1809750"/>
        </a:xfrm>
        <a:custGeom>
          <a:pathLst>
            <a:path h="190" w="231">
              <a:moveTo>
                <a:pt x="0" y="0"/>
              </a:moveTo>
              <a:cubicBezTo>
                <a:pt x="10" y="3"/>
                <a:pt x="18" y="8"/>
                <a:pt x="29" y="10"/>
              </a:cubicBezTo>
              <a:cubicBezTo>
                <a:pt x="41" y="14"/>
                <a:pt x="52" y="23"/>
                <a:pt x="63" y="26"/>
              </a:cubicBezTo>
              <a:cubicBezTo>
                <a:pt x="68" y="27"/>
                <a:pt x="74" y="29"/>
                <a:pt x="79" y="30"/>
              </a:cubicBezTo>
              <a:cubicBezTo>
                <a:pt x="82" y="31"/>
                <a:pt x="87" y="32"/>
                <a:pt x="87" y="32"/>
              </a:cubicBezTo>
              <a:cubicBezTo>
                <a:pt x="92" y="35"/>
                <a:pt x="97" y="40"/>
                <a:pt x="103" y="42"/>
              </a:cubicBezTo>
              <a:cubicBezTo>
                <a:pt x="110" y="47"/>
                <a:pt x="120" y="51"/>
                <a:pt x="128" y="55"/>
              </a:cubicBezTo>
              <a:cubicBezTo>
                <a:pt x="138" y="69"/>
                <a:pt x="156" y="77"/>
                <a:pt x="167" y="91"/>
              </a:cubicBezTo>
              <a:cubicBezTo>
                <a:pt x="171" y="103"/>
                <a:pt x="187" y="119"/>
                <a:pt x="198" y="123"/>
              </a:cubicBezTo>
              <a:cubicBezTo>
                <a:pt x="201" y="126"/>
                <a:pt x="203" y="129"/>
                <a:pt x="206" y="131"/>
              </a:cubicBezTo>
              <a:cubicBezTo>
                <a:pt x="213" y="151"/>
                <a:pt x="231" y="166"/>
                <a:pt x="231" y="190"/>
              </a:cubicBez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462</xdr:row>
      <xdr:rowOff>47625</xdr:rowOff>
    </xdr:from>
    <xdr:to>
      <xdr:col>8</xdr:col>
      <xdr:colOff>180975</xdr:colOff>
      <xdr:row>474</xdr:row>
      <xdr:rowOff>19050</xdr:rowOff>
    </xdr:to>
    <xdr:sp>
      <xdr:nvSpPr>
        <xdr:cNvPr id="224" name="Freeform 325"/>
        <xdr:cNvSpPr>
          <a:spLocks/>
        </xdr:cNvSpPr>
      </xdr:nvSpPr>
      <xdr:spPr>
        <a:xfrm>
          <a:off x="4610100" y="76247625"/>
          <a:ext cx="990600" cy="1914525"/>
        </a:xfrm>
        <a:custGeom>
          <a:pathLst>
            <a:path h="201" w="104">
              <a:moveTo>
                <a:pt x="0" y="0"/>
              </a:moveTo>
              <a:cubicBezTo>
                <a:pt x="2" y="6"/>
                <a:pt x="8" y="13"/>
                <a:pt x="13" y="17"/>
              </a:cubicBezTo>
              <a:cubicBezTo>
                <a:pt x="16" y="21"/>
                <a:pt x="21" y="22"/>
                <a:pt x="24" y="27"/>
              </a:cubicBezTo>
              <a:cubicBezTo>
                <a:pt x="28" y="40"/>
                <a:pt x="37" y="48"/>
                <a:pt x="45" y="58"/>
              </a:cubicBezTo>
              <a:cubicBezTo>
                <a:pt x="49" y="63"/>
                <a:pt x="51" y="70"/>
                <a:pt x="55" y="75"/>
              </a:cubicBezTo>
              <a:cubicBezTo>
                <a:pt x="57" y="81"/>
                <a:pt x="60" y="90"/>
                <a:pt x="64" y="95"/>
              </a:cubicBezTo>
              <a:cubicBezTo>
                <a:pt x="67" y="103"/>
                <a:pt x="71" y="110"/>
                <a:pt x="74" y="118"/>
              </a:cubicBezTo>
              <a:cubicBezTo>
                <a:pt x="75" y="121"/>
                <a:pt x="77" y="127"/>
                <a:pt x="77" y="127"/>
              </a:cubicBezTo>
              <a:cubicBezTo>
                <a:pt x="80" y="154"/>
                <a:pt x="92" y="177"/>
                <a:pt x="104" y="201"/>
              </a:cubicBez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464</xdr:row>
      <xdr:rowOff>9525</xdr:rowOff>
    </xdr:from>
    <xdr:to>
      <xdr:col>3</xdr:col>
      <xdr:colOff>504825</xdr:colOff>
      <xdr:row>474</xdr:row>
      <xdr:rowOff>9525</xdr:rowOff>
    </xdr:to>
    <xdr:sp>
      <xdr:nvSpPr>
        <xdr:cNvPr id="225" name="Freeform 326"/>
        <xdr:cNvSpPr>
          <a:spLocks/>
        </xdr:cNvSpPr>
      </xdr:nvSpPr>
      <xdr:spPr>
        <a:xfrm>
          <a:off x="1438275" y="76533375"/>
          <a:ext cx="933450" cy="1619250"/>
        </a:xfrm>
        <a:custGeom>
          <a:pathLst>
            <a:path h="170" w="94">
              <a:moveTo>
                <a:pt x="0" y="170"/>
              </a:moveTo>
              <a:cubicBezTo>
                <a:pt x="4" y="167"/>
                <a:pt x="6" y="164"/>
                <a:pt x="9" y="161"/>
              </a:cubicBezTo>
              <a:cubicBezTo>
                <a:pt x="14" y="147"/>
                <a:pt x="31" y="135"/>
                <a:pt x="40" y="124"/>
              </a:cubicBezTo>
              <a:cubicBezTo>
                <a:pt x="44" y="119"/>
                <a:pt x="46" y="116"/>
                <a:pt x="50" y="110"/>
              </a:cubicBezTo>
              <a:cubicBezTo>
                <a:pt x="51" y="109"/>
                <a:pt x="52" y="107"/>
                <a:pt x="52" y="107"/>
              </a:cubicBezTo>
              <a:cubicBezTo>
                <a:pt x="57" y="91"/>
                <a:pt x="66" y="79"/>
                <a:pt x="74" y="65"/>
              </a:cubicBezTo>
              <a:cubicBezTo>
                <a:pt x="84" y="48"/>
                <a:pt x="94" y="20"/>
                <a:pt x="94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462</xdr:row>
      <xdr:rowOff>85725</xdr:rowOff>
    </xdr:from>
    <xdr:to>
      <xdr:col>6</xdr:col>
      <xdr:colOff>552450</xdr:colOff>
      <xdr:row>474</xdr:row>
      <xdr:rowOff>9525</xdr:rowOff>
    </xdr:to>
    <xdr:sp>
      <xdr:nvSpPr>
        <xdr:cNvPr id="226" name="Line 328"/>
        <xdr:cNvSpPr>
          <a:spLocks/>
        </xdr:cNvSpPr>
      </xdr:nvSpPr>
      <xdr:spPr>
        <a:xfrm flipV="1">
          <a:off x="3409950" y="76285725"/>
          <a:ext cx="134302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464</xdr:row>
      <xdr:rowOff>28575</xdr:rowOff>
    </xdr:from>
    <xdr:to>
      <xdr:col>6</xdr:col>
      <xdr:colOff>371475</xdr:colOff>
      <xdr:row>464</xdr:row>
      <xdr:rowOff>38100</xdr:rowOff>
    </xdr:to>
    <xdr:sp>
      <xdr:nvSpPr>
        <xdr:cNvPr id="227" name="Line 331"/>
        <xdr:cNvSpPr>
          <a:spLocks/>
        </xdr:cNvSpPr>
      </xdr:nvSpPr>
      <xdr:spPr>
        <a:xfrm flipV="1">
          <a:off x="2381250" y="76552425"/>
          <a:ext cx="2190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464</xdr:row>
      <xdr:rowOff>19050</xdr:rowOff>
    </xdr:from>
    <xdr:to>
      <xdr:col>7</xdr:col>
      <xdr:colOff>514350</xdr:colOff>
      <xdr:row>474</xdr:row>
      <xdr:rowOff>47625</xdr:rowOff>
    </xdr:to>
    <xdr:sp>
      <xdr:nvSpPr>
        <xdr:cNvPr id="228" name="Freeform 332"/>
        <xdr:cNvSpPr>
          <a:spLocks/>
        </xdr:cNvSpPr>
      </xdr:nvSpPr>
      <xdr:spPr>
        <a:xfrm>
          <a:off x="4572000" y="76542900"/>
          <a:ext cx="752475" cy="1647825"/>
        </a:xfrm>
        <a:custGeom>
          <a:pathLst>
            <a:path h="173" w="79">
              <a:moveTo>
                <a:pt x="0" y="0"/>
              </a:moveTo>
              <a:cubicBezTo>
                <a:pt x="3" y="8"/>
                <a:pt x="8" y="14"/>
                <a:pt x="15" y="18"/>
              </a:cubicBezTo>
              <a:cubicBezTo>
                <a:pt x="20" y="26"/>
                <a:pt x="23" y="35"/>
                <a:pt x="30" y="42"/>
              </a:cubicBezTo>
              <a:cubicBezTo>
                <a:pt x="33" y="50"/>
                <a:pt x="39" y="61"/>
                <a:pt x="44" y="68"/>
              </a:cubicBezTo>
              <a:cubicBezTo>
                <a:pt x="50" y="90"/>
                <a:pt x="65" y="110"/>
                <a:pt x="69" y="133"/>
              </a:cubicBezTo>
              <a:cubicBezTo>
                <a:pt x="70" y="141"/>
                <a:pt x="73" y="148"/>
                <a:pt x="75" y="156"/>
              </a:cubicBezTo>
              <a:cubicBezTo>
                <a:pt x="76" y="160"/>
                <a:pt x="77" y="164"/>
                <a:pt x="78" y="168"/>
              </a:cubicBezTo>
              <a:cubicBezTo>
                <a:pt x="78" y="170"/>
                <a:pt x="79" y="173"/>
                <a:pt x="79" y="173"/>
              </a:cubicBez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464</xdr:row>
      <xdr:rowOff>95250</xdr:rowOff>
    </xdr:from>
    <xdr:to>
      <xdr:col>3</xdr:col>
      <xdr:colOff>47625</xdr:colOff>
      <xdr:row>467</xdr:row>
      <xdr:rowOff>104775</xdr:rowOff>
    </xdr:to>
    <xdr:sp>
      <xdr:nvSpPr>
        <xdr:cNvPr id="229" name="Line 333"/>
        <xdr:cNvSpPr>
          <a:spLocks/>
        </xdr:cNvSpPr>
      </xdr:nvSpPr>
      <xdr:spPr>
        <a:xfrm flipV="1">
          <a:off x="876300" y="76619100"/>
          <a:ext cx="10382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465</xdr:row>
      <xdr:rowOff>142875</xdr:rowOff>
    </xdr:from>
    <xdr:to>
      <xdr:col>7</xdr:col>
      <xdr:colOff>495300</xdr:colOff>
      <xdr:row>467</xdr:row>
      <xdr:rowOff>66675</xdr:rowOff>
    </xdr:to>
    <xdr:sp>
      <xdr:nvSpPr>
        <xdr:cNvPr id="230" name="Line 334"/>
        <xdr:cNvSpPr>
          <a:spLocks/>
        </xdr:cNvSpPr>
      </xdr:nvSpPr>
      <xdr:spPr>
        <a:xfrm flipH="1">
          <a:off x="5181600" y="76828650"/>
          <a:ext cx="1238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464</xdr:row>
      <xdr:rowOff>47625</xdr:rowOff>
    </xdr:from>
    <xdr:to>
      <xdr:col>3</xdr:col>
      <xdr:colOff>600075</xdr:colOff>
      <xdr:row>464</xdr:row>
      <xdr:rowOff>133350</xdr:rowOff>
    </xdr:to>
    <xdr:sp>
      <xdr:nvSpPr>
        <xdr:cNvPr id="231" name="Line 336"/>
        <xdr:cNvSpPr>
          <a:spLocks/>
        </xdr:cNvSpPr>
      </xdr:nvSpPr>
      <xdr:spPr>
        <a:xfrm>
          <a:off x="2428875" y="76571475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464</xdr:row>
      <xdr:rowOff>85725</xdr:rowOff>
    </xdr:from>
    <xdr:to>
      <xdr:col>3</xdr:col>
      <xdr:colOff>542925</xdr:colOff>
      <xdr:row>465</xdr:row>
      <xdr:rowOff>9525</xdr:rowOff>
    </xdr:to>
    <xdr:sp>
      <xdr:nvSpPr>
        <xdr:cNvPr id="232" name="Line 337"/>
        <xdr:cNvSpPr>
          <a:spLocks/>
        </xdr:cNvSpPr>
      </xdr:nvSpPr>
      <xdr:spPr>
        <a:xfrm>
          <a:off x="2371725" y="76609575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472</xdr:row>
      <xdr:rowOff>0</xdr:rowOff>
    </xdr:from>
    <xdr:to>
      <xdr:col>2</xdr:col>
      <xdr:colOff>542925</xdr:colOff>
      <xdr:row>472</xdr:row>
      <xdr:rowOff>85725</xdr:rowOff>
    </xdr:to>
    <xdr:sp>
      <xdr:nvSpPr>
        <xdr:cNvPr id="233" name="Line 338"/>
        <xdr:cNvSpPr>
          <a:spLocks/>
        </xdr:cNvSpPr>
      </xdr:nvSpPr>
      <xdr:spPr>
        <a:xfrm>
          <a:off x="1724025" y="77819250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471</xdr:row>
      <xdr:rowOff>104775</xdr:rowOff>
    </xdr:from>
    <xdr:to>
      <xdr:col>2</xdr:col>
      <xdr:colOff>600075</xdr:colOff>
      <xdr:row>472</xdr:row>
      <xdr:rowOff>28575</xdr:rowOff>
    </xdr:to>
    <xdr:sp>
      <xdr:nvSpPr>
        <xdr:cNvPr id="234" name="Line 339"/>
        <xdr:cNvSpPr>
          <a:spLocks/>
        </xdr:cNvSpPr>
      </xdr:nvSpPr>
      <xdr:spPr>
        <a:xfrm>
          <a:off x="1781175" y="77762100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471</xdr:row>
      <xdr:rowOff>0</xdr:rowOff>
    </xdr:from>
    <xdr:to>
      <xdr:col>3</xdr:col>
      <xdr:colOff>76200</xdr:colOff>
      <xdr:row>471</xdr:row>
      <xdr:rowOff>85725</xdr:rowOff>
    </xdr:to>
    <xdr:sp>
      <xdr:nvSpPr>
        <xdr:cNvPr id="235" name="Line 340"/>
        <xdr:cNvSpPr>
          <a:spLocks/>
        </xdr:cNvSpPr>
      </xdr:nvSpPr>
      <xdr:spPr>
        <a:xfrm>
          <a:off x="1905000" y="77657325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470</xdr:row>
      <xdr:rowOff>66675</xdr:rowOff>
    </xdr:from>
    <xdr:to>
      <xdr:col>3</xdr:col>
      <xdr:colOff>114300</xdr:colOff>
      <xdr:row>470</xdr:row>
      <xdr:rowOff>152400</xdr:rowOff>
    </xdr:to>
    <xdr:sp>
      <xdr:nvSpPr>
        <xdr:cNvPr id="236" name="Line 341"/>
        <xdr:cNvSpPr>
          <a:spLocks/>
        </xdr:cNvSpPr>
      </xdr:nvSpPr>
      <xdr:spPr>
        <a:xfrm>
          <a:off x="1943100" y="77562075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469</xdr:row>
      <xdr:rowOff>114300</xdr:rowOff>
    </xdr:from>
    <xdr:to>
      <xdr:col>3</xdr:col>
      <xdr:colOff>190500</xdr:colOff>
      <xdr:row>470</xdr:row>
      <xdr:rowOff>38100</xdr:rowOff>
    </xdr:to>
    <xdr:sp>
      <xdr:nvSpPr>
        <xdr:cNvPr id="237" name="Line 342"/>
        <xdr:cNvSpPr>
          <a:spLocks/>
        </xdr:cNvSpPr>
      </xdr:nvSpPr>
      <xdr:spPr>
        <a:xfrm>
          <a:off x="2019300" y="77447775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468</xdr:row>
      <xdr:rowOff>152400</xdr:rowOff>
    </xdr:from>
    <xdr:to>
      <xdr:col>3</xdr:col>
      <xdr:colOff>247650</xdr:colOff>
      <xdr:row>469</xdr:row>
      <xdr:rowOff>76200</xdr:rowOff>
    </xdr:to>
    <xdr:sp>
      <xdr:nvSpPr>
        <xdr:cNvPr id="238" name="Line 343"/>
        <xdr:cNvSpPr>
          <a:spLocks/>
        </xdr:cNvSpPr>
      </xdr:nvSpPr>
      <xdr:spPr>
        <a:xfrm>
          <a:off x="2076450" y="77323950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468</xdr:row>
      <xdr:rowOff>38100</xdr:rowOff>
    </xdr:from>
    <xdr:to>
      <xdr:col>3</xdr:col>
      <xdr:colOff>323850</xdr:colOff>
      <xdr:row>468</xdr:row>
      <xdr:rowOff>123825</xdr:rowOff>
    </xdr:to>
    <xdr:sp>
      <xdr:nvSpPr>
        <xdr:cNvPr id="239" name="Line 344"/>
        <xdr:cNvSpPr>
          <a:spLocks/>
        </xdr:cNvSpPr>
      </xdr:nvSpPr>
      <xdr:spPr>
        <a:xfrm>
          <a:off x="2152650" y="77209650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467</xdr:row>
      <xdr:rowOff>47625</xdr:rowOff>
    </xdr:from>
    <xdr:to>
      <xdr:col>3</xdr:col>
      <xdr:colOff>428625</xdr:colOff>
      <xdr:row>467</xdr:row>
      <xdr:rowOff>133350</xdr:rowOff>
    </xdr:to>
    <xdr:sp>
      <xdr:nvSpPr>
        <xdr:cNvPr id="240" name="Line 345"/>
        <xdr:cNvSpPr>
          <a:spLocks/>
        </xdr:cNvSpPr>
      </xdr:nvSpPr>
      <xdr:spPr>
        <a:xfrm>
          <a:off x="2257425" y="77057250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466</xdr:row>
      <xdr:rowOff>66675</xdr:rowOff>
    </xdr:from>
    <xdr:to>
      <xdr:col>3</xdr:col>
      <xdr:colOff>476250</xdr:colOff>
      <xdr:row>466</xdr:row>
      <xdr:rowOff>152400</xdr:rowOff>
    </xdr:to>
    <xdr:sp>
      <xdr:nvSpPr>
        <xdr:cNvPr id="241" name="Line 346"/>
        <xdr:cNvSpPr>
          <a:spLocks/>
        </xdr:cNvSpPr>
      </xdr:nvSpPr>
      <xdr:spPr>
        <a:xfrm>
          <a:off x="2305050" y="76914375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465</xdr:row>
      <xdr:rowOff>66675</xdr:rowOff>
    </xdr:from>
    <xdr:to>
      <xdr:col>3</xdr:col>
      <xdr:colOff>514350</xdr:colOff>
      <xdr:row>465</xdr:row>
      <xdr:rowOff>152400</xdr:rowOff>
    </xdr:to>
    <xdr:sp>
      <xdr:nvSpPr>
        <xdr:cNvPr id="242" name="Line 347"/>
        <xdr:cNvSpPr>
          <a:spLocks/>
        </xdr:cNvSpPr>
      </xdr:nvSpPr>
      <xdr:spPr>
        <a:xfrm>
          <a:off x="2343150" y="76752450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472</xdr:row>
      <xdr:rowOff>76200</xdr:rowOff>
    </xdr:from>
    <xdr:to>
      <xdr:col>2</xdr:col>
      <xdr:colOff>457200</xdr:colOff>
      <xdr:row>473</xdr:row>
      <xdr:rowOff>0</xdr:rowOff>
    </xdr:to>
    <xdr:sp>
      <xdr:nvSpPr>
        <xdr:cNvPr id="243" name="Line 348"/>
        <xdr:cNvSpPr>
          <a:spLocks/>
        </xdr:cNvSpPr>
      </xdr:nvSpPr>
      <xdr:spPr>
        <a:xfrm>
          <a:off x="1638300" y="77895450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473</xdr:row>
      <xdr:rowOff>28575</xdr:rowOff>
    </xdr:from>
    <xdr:to>
      <xdr:col>2</xdr:col>
      <xdr:colOff>390525</xdr:colOff>
      <xdr:row>473</xdr:row>
      <xdr:rowOff>114300</xdr:rowOff>
    </xdr:to>
    <xdr:sp>
      <xdr:nvSpPr>
        <xdr:cNvPr id="244" name="Line 349"/>
        <xdr:cNvSpPr>
          <a:spLocks/>
        </xdr:cNvSpPr>
      </xdr:nvSpPr>
      <xdr:spPr>
        <a:xfrm>
          <a:off x="1571625" y="78009750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464</xdr:row>
      <xdr:rowOff>47625</xdr:rowOff>
    </xdr:from>
    <xdr:to>
      <xdr:col>3</xdr:col>
      <xdr:colOff>838200</xdr:colOff>
      <xdr:row>464</xdr:row>
      <xdr:rowOff>133350</xdr:rowOff>
    </xdr:to>
    <xdr:sp>
      <xdr:nvSpPr>
        <xdr:cNvPr id="245" name="Line 350"/>
        <xdr:cNvSpPr>
          <a:spLocks/>
        </xdr:cNvSpPr>
      </xdr:nvSpPr>
      <xdr:spPr>
        <a:xfrm>
          <a:off x="2667000" y="76571475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464</xdr:row>
      <xdr:rowOff>66675</xdr:rowOff>
    </xdr:from>
    <xdr:to>
      <xdr:col>6</xdr:col>
      <xdr:colOff>438150</xdr:colOff>
      <xdr:row>464</xdr:row>
      <xdr:rowOff>152400</xdr:rowOff>
    </xdr:to>
    <xdr:sp>
      <xdr:nvSpPr>
        <xdr:cNvPr id="246" name="Line 351"/>
        <xdr:cNvSpPr>
          <a:spLocks/>
        </xdr:cNvSpPr>
      </xdr:nvSpPr>
      <xdr:spPr>
        <a:xfrm>
          <a:off x="4600575" y="76590525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464</xdr:row>
      <xdr:rowOff>38100</xdr:rowOff>
    </xdr:from>
    <xdr:to>
      <xdr:col>6</xdr:col>
      <xdr:colOff>180975</xdr:colOff>
      <xdr:row>464</xdr:row>
      <xdr:rowOff>123825</xdr:rowOff>
    </xdr:to>
    <xdr:sp>
      <xdr:nvSpPr>
        <xdr:cNvPr id="247" name="Line 352"/>
        <xdr:cNvSpPr>
          <a:spLocks/>
        </xdr:cNvSpPr>
      </xdr:nvSpPr>
      <xdr:spPr>
        <a:xfrm>
          <a:off x="4343400" y="76561950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464</xdr:row>
      <xdr:rowOff>47625</xdr:rowOff>
    </xdr:from>
    <xdr:to>
      <xdr:col>5</xdr:col>
      <xdr:colOff>533400</xdr:colOff>
      <xdr:row>464</xdr:row>
      <xdr:rowOff>133350</xdr:rowOff>
    </xdr:to>
    <xdr:sp>
      <xdr:nvSpPr>
        <xdr:cNvPr id="248" name="Line 353"/>
        <xdr:cNvSpPr>
          <a:spLocks/>
        </xdr:cNvSpPr>
      </xdr:nvSpPr>
      <xdr:spPr>
        <a:xfrm>
          <a:off x="4086225" y="76571475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464</xdr:row>
      <xdr:rowOff>38100</xdr:rowOff>
    </xdr:from>
    <xdr:to>
      <xdr:col>5</xdr:col>
      <xdr:colOff>323850</xdr:colOff>
      <xdr:row>464</xdr:row>
      <xdr:rowOff>123825</xdr:rowOff>
    </xdr:to>
    <xdr:sp>
      <xdr:nvSpPr>
        <xdr:cNvPr id="249" name="Line 354"/>
        <xdr:cNvSpPr>
          <a:spLocks/>
        </xdr:cNvSpPr>
      </xdr:nvSpPr>
      <xdr:spPr>
        <a:xfrm>
          <a:off x="3876675" y="76561950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464</xdr:row>
      <xdr:rowOff>19050</xdr:rowOff>
    </xdr:from>
    <xdr:to>
      <xdr:col>5</xdr:col>
      <xdr:colOff>47625</xdr:colOff>
      <xdr:row>464</xdr:row>
      <xdr:rowOff>104775</xdr:rowOff>
    </xdr:to>
    <xdr:sp>
      <xdr:nvSpPr>
        <xdr:cNvPr id="250" name="Line 355"/>
        <xdr:cNvSpPr>
          <a:spLocks/>
        </xdr:cNvSpPr>
      </xdr:nvSpPr>
      <xdr:spPr>
        <a:xfrm>
          <a:off x="3600450" y="76542900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464</xdr:row>
      <xdr:rowOff>47625</xdr:rowOff>
    </xdr:from>
    <xdr:to>
      <xdr:col>4</xdr:col>
      <xdr:colOff>381000</xdr:colOff>
      <xdr:row>464</xdr:row>
      <xdr:rowOff>133350</xdr:rowOff>
    </xdr:to>
    <xdr:sp>
      <xdr:nvSpPr>
        <xdr:cNvPr id="251" name="Line 356"/>
        <xdr:cNvSpPr>
          <a:spLocks/>
        </xdr:cNvSpPr>
      </xdr:nvSpPr>
      <xdr:spPr>
        <a:xfrm>
          <a:off x="3248025" y="76571475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464</xdr:row>
      <xdr:rowOff>57150</xdr:rowOff>
    </xdr:from>
    <xdr:to>
      <xdr:col>4</xdr:col>
      <xdr:colOff>47625</xdr:colOff>
      <xdr:row>464</xdr:row>
      <xdr:rowOff>142875</xdr:rowOff>
    </xdr:to>
    <xdr:sp>
      <xdr:nvSpPr>
        <xdr:cNvPr id="252" name="Line 357"/>
        <xdr:cNvSpPr>
          <a:spLocks/>
        </xdr:cNvSpPr>
      </xdr:nvSpPr>
      <xdr:spPr>
        <a:xfrm>
          <a:off x="2914650" y="76581000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464</xdr:row>
      <xdr:rowOff>114300</xdr:rowOff>
    </xdr:from>
    <xdr:to>
      <xdr:col>6</xdr:col>
      <xdr:colOff>457200</xdr:colOff>
      <xdr:row>465</xdr:row>
      <xdr:rowOff>38100</xdr:rowOff>
    </xdr:to>
    <xdr:sp>
      <xdr:nvSpPr>
        <xdr:cNvPr id="253" name="Line 358"/>
        <xdr:cNvSpPr>
          <a:spLocks/>
        </xdr:cNvSpPr>
      </xdr:nvSpPr>
      <xdr:spPr>
        <a:xfrm>
          <a:off x="4619625" y="76638150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466</xdr:row>
      <xdr:rowOff>47625</xdr:rowOff>
    </xdr:from>
    <xdr:to>
      <xdr:col>7</xdr:col>
      <xdr:colOff>0</xdr:colOff>
      <xdr:row>466</xdr:row>
      <xdr:rowOff>114300</xdr:rowOff>
    </xdr:to>
    <xdr:sp>
      <xdr:nvSpPr>
        <xdr:cNvPr id="254" name="Line 366"/>
        <xdr:cNvSpPr>
          <a:spLocks/>
        </xdr:cNvSpPr>
      </xdr:nvSpPr>
      <xdr:spPr>
        <a:xfrm flipH="1">
          <a:off x="4781550" y="76895325"/>
          <a:ext cx="285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464</xdr:row>
      <xdr:rowOff>114300</xdr:rowOff>
    </xdr:from>
    <xdr:to>
      <xdr:col>6</xdr:col>
      <xdr:colOff>400050</xdr:colOff>
      <xdr:row>465</xdr:row>
      <xdr:rowOff>19050</xdr:rowOff>
    </xdr:to>
    <xdr:sp>
      <xdr:nvSpPr>
        <xdr:cNvPr id="255" name="Line 367"/>
        <xdr:cNvSpPr>
          <a:spLocks/>
        </xdr:cNvSpPr>
      </xdr:nvSpPr>
      <xdr:spPr>
        <a:xfrm flipH="1">
          <a:off x="4572000" y="76638150"/>
          <a:ext cx="285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465</xdr:row>
      <xdr:rowOff>104775</xdr:rowOff>
    </xdr:from>
    <xdr:to>
      <xdr:col>6</xdr:col>
      <xdr:colOff>552450</xdr:colOff>
      <xdr:row>466</xdr:row>
      <xdr:rowOff>9525</xdr:rowOff>
    </xdr:to>
    <xdr:sp>
      <xdr:nvSpPr>
        <xdr:cNvPr id="256" name="Line 368"/>
        <xdr:cNvSpPr>
          <a:spLocks/>
        </xdr:cNvSpPr>
      </xdr:nvSpPr>
      <xdr:spPr>
        <a:xfrm flipH="1">
          <a:off x="4724400" y="76790550"/>
          <a:ext cx="285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467</xdr:row>
      <xdr:rowOff>9525</xdr:rowOff>
    </xdr:from>
    <xdr:to>
      <xdr:col>7</xdr:col>
      <xdr:colOff>85725</xdr:colOff>
      <xdr:row>467</xdr:row>
      <xdr:rowOff>76200</xdr:rowOff>
    </xdr:to>
    <xdr:sp>
      <xdr:nvSpPr>
        <xdr:cNvPr id="257" name="Line 369"/>
        <xdr:cNvSpPr>
          <a:spLocks/>
        </xdr:cNvSpPr>
      </xdr:nvSpPr>
      <xdr:spPr>
        <a:xfrm flipH="1">
          <a:off x="4867275" y="77019150"/>
          <a:ext cx="285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468</xdr:row>
      <xdr:rowOff>38100</xdr:rowOff>
    </xdr:from>
    <xdr:to>
      <xdr:col>7</xdr:col>
      <xdr:colOff>171450</xdr:colOff>
      <xdr:row>468</xdr:row>
      <xdr:rowOff>104775</xdr:rowOff>
    </xdr:to>
    <xdr:sp>
      <xdr:nvSpPr>
        <xdr:cNvPr id="258" name="Line 370"/>
        <xdr:cNvSpPr>
          <a:spLocks/>
        </xdr:cNvSpPr>
      </xdr:nvSpPr>
      <xdr:spPr>
        <a:xfrm flipH="1">
          <a:off x="4953000" y="77209650"/>
          <a:ext cx="285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469</xdr:row>
      <xdr:rowOff>104775</xdr:rowOff>
    </xdr:from>
    <xdr:to>
      <xdr:col>7</xdr:col>
      <xdr:colOff>247650</xdr:colOff>
      <xdr:row>470</xdr:row>
      <xdr:rowOff>9525</xdr:rowOff>
    </xdr:to>
    <xdr:sp>
      <xdr:nvSpPr>
        <xdr:cNvPr id="259" name="Line 371"/>
        <xdr:cNvSpPr>
          <a:spLocks/>
        </xdr:cNvSpPr>
      </xdr:nvSpPr>
      <xdr:spPr>
        <a:xfrm flipH="1">
          <a:off x="5029200" y="77438250"/>
          <a:ext cx="285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470</xdr:row>
      <xdr:rowOff>114300</xdr:rowOff>
    </xdr:from>
    <xdr:to>
      <xdr:col>7</xdr:col>
      <xdr:colOff>361950</xdr:colOff>
      <xdr:row>471</xdr:row>
      <xdr:rowOff>19050</xdr:rowOff>
    </xdr:to>
    <xdr:sp>
      <xdr:nvSpPr>
        <xdr:cNvPr id="260" name="Line 372"/>
        <xdr:cNvSpPr>
          <a:spLocks/>
        </xdr:cNvSpPr>
      </xdr:nvSpPr>
      <xdr:spPr>
        <a:xfrm flipH="1">
          <a:off x="5143500" y="77609700"/>
          <a:ext cx="285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471</xdr:row>
      <xdr:rowOff>104775</xdr:rowOff>
    </xdr:from>
    <xdr:to>
      <xdr:col>7</xdr:col>
      <xdr:colOff>390525</xdr:colOff>
      <xdr:row>472</xdr:row>
      <xdr:rowOff>9525</xdr:rowOff>
    </xdr:to>
    <xdr:sp>
      <xdr:nvSpPr>
        <xdr:cNvPr id="261" name="Line 373"/>
        <xdr:cNvSpPr>
          <a:spLocks/>
        </xdr:cNvSpPr>
      </xdr:nvSpPr>
      <xdr:spPr>
        <a:xfrm flipH="1">
          <a:off x="5172075" y="77762100"/>
          <a:ext cx="285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473</xdr:row>
      <xdr:rowOff>85725</xdr:rowOff>
    </xdr:from>
    <xdr:to>
      <xdr:col>7</xdr:col>
      <xdr:colOff>466725</xdr:colOff>
      <xdr:row>473</xdr:row>
      <xdr:rowOff>152400</xdr:rowOff>
    </xdr:to>
    <xdr:sp>
      <xdr:nvSpPr>
        <xdr:cNvPr id="262" name="Line 374"/>
        <xdr:cNvSpPr>
          <a:spLocks/>
        </xdr:cNvSpPr>
      </xdr:nvSpPr>
      <xdr:spPr>
        <a:xfrm flipH="1">
          <a:off x="5248275" y="78066900"/>
          <a:ext cx="285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468</xdr:row>
      <xdr:rowOff>152400</xdr:rowOff>
    </xdr:from>
    <xdr:to>
      <xdr:col>6</xdr:col>
      <xdr:colOff>200025</xdr:colOff>
      <xdr:row>476</xdr:row>
      <xdr:rowOff>66675</xdr:rowOff>
    </xdr:to>
    <xdr:sp>
      <xdr:nvSpPr>
        <xdr:cNvPr id="263" name="Line 375"/>
        <xdr:cNvSpPr>
          <a:spLocks/>
        </xdr:cNvSpPr>
      </xdr:nvSpPr>
      <xdr:spPr>
        <a:xfrm>
          <a:off x="4010025" y="77323950"/>
          <a:ext cx="39052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465</xdr:row>
      <xdr:rowOff>123825</xdr:rowOff>
    </xdr:from>
    <xdr:to>
      <xdr:col>4</xdr:col>
      <xdr:colOff>561975</xdr:colOff>
      <xdr:row>467</xdr:row>
      <xdr:rowOff>9525</xdr:rowOff>
    </xdr:to>
    <xdr:sp>
      <xdr:nvSpPr>
        <xdr:cNvPr id="264" name="Line 376"/>
        <xdr:cNvSpPr>
          <a:spLocks/>
        </xdr:cNvSpPr>
      </xdr:nvSpPr>
      <xdr:spPr>
        <a:xfrm flipV="1">
          <a:off x="3467100" y="768096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475</xdr:row>
      <xdr:rowOff>76200</xdr:rowOff>
    </xdr:from>
    <xdr:to>
      <xdr:col>3</xdr:col>
      <xdr:colOff>876300</xdr:colOff>
      <xdr:row>475</xdr:row>
      <xdr:rowOff>76200</xdr:rowOff>
    </xdr:to>
    <xdr:sp>
      <xdr:nvSpPr>
        <xdr:cNvPr id="265" name="Line 377"/>
        <xdr:cNvSpPr>
          <a:spLocks/>
        </xdr:cNvSpPr>
      </xdr:nvSpPr>
      <xdr:spPr>
        <a:xfrm flipH="1">
          <a:off x="2238375" y="783812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465</xdr:row>
      <xdr:rowOff>104775</xdr:rowOff>
    </xdr:from>
    <xdr:to>
      <xdr:col>3</xdr:col>
      <xdr:colOff>457200</xdr:colOff>
      <xdr:row>465</xdr:row>
      <xdr:rowOff>104775</xdr:rowOff>
    </xdr:to>
    <xdr:sp>
      <xdr:nvSpPr>
        <xdr:cNvPr id="266" name="Line 378"/>
        <xdr:cNvSpPr>
          <a:spLocks/>
        </xdr:cNvSpPr>
      </xdr:nvSpPr>
      <xdr:spPr>
        <a:xfrm flipH="1">
          <a:off x="1209675" y="767905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482</xdr:row>
      <xdr:rowOff>0</xdr:rowOff>
    </xdr:from>
    <xdr:to>
      <xdr:col>4</xdr:col>
      <xdr:colOff>276225</xdr:colOff>
      <xdr:row>482</xdr:row>
      <xdr:rowOff>0</xdr:rowOff>
    </xdr:to>
    <xdr:sp>
      <xdr:nvSpPr>
        <xdr:cNvPr id="267" name="Line 379"/>
        <xdr:cNvSpPr>
          <a:spLocks/>
        </xdr:cNvSpPr>
      </xdr:nvSpPr>
      <xdr:spPr>
        <a:xfrm>
          <a:off x="3181350" y="7945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978</xdr:row>
      <xdr:rowOff>104775</xdr:rowOff>
    </xdr:from>
    <xdr:to>
      <xdr:col>2</xdr:col>
      <xdr:colOff>447675</xdr:colOff>
      <xdr:row>979</xdr:row>
      <xdr:rowOff>142875</xdr:rowOff>
    </xdr:to>
    <xdr:sp>
      <xdr:nvSpPr>
        <xdr:cNvPr id="268" name="Oval 380"/>
        <xdr:cNvSpPr>
          <a:spLocks/>
        </xdr:cNvSpPr>
      </xdr:nvSpPr>
      <xdr:spPr>
        <a:xfrm>
          <a:off x="1447800" y="160029525"/>
          <a:ext cx="21907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978</xdr:row>
      <xdr:rowOff>85725</xdr:rowOff>
    </xdr:from>
    <xdr:to>
      <xdr:col>6</xdr:col>
      <xdr:colOff>542925</xdr:colOff>
      <xdr:row>979</xdr:row>
      <xdr:rowOff>123825</xdr:rowOff>
    </xdr:to>
    <xdr:sp>
      <xdr:nvSpPr>
        <xdr:cNvPr id="269" name="Oval 381"/>
        <xdr:cNvSpPr>
          <a:spLocks/>
        </xdr:cNvSpPr>
      </xdr:nvSpPr>
      <xdr:spPr>
        <a:xfrm>
          <a:off x="4524375" y="160010475"/>
          <a:ext cx="21907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976</xdr:row>
      <xdr:rowOff>47625</xdr:rowOff>
    </xdr:from>
    <xdr:to>
      <xdr:col>2</xdr:col>
      <xdr:colOff>342900</xdr:colOff>
      <xdr:row>978</xdr:row>
      <xdr:rowOff>95250</xdr:rowOff>
    </xdr:to>
    <xdr:sp>
      <xdr:nvSpPr>
        <xdr:cNvPr id="270" name="Line 382"/>
        <xdr:cNvSpPr>
          <a:spLocks/>
        </xdr:cNvSpPr>
      </xdr:nvSpPr>
      <xdr:spPr>
        <a:xfrm flipV="1">
          <a:off x="1562100" y="1596485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976</xdr:row>
      <xdr:rowOff>57150</xdr:rowOff>
    </xdr:from>
    <xdr:to>
      <xdr:col>3</xdr:col>
      <xdr:colOff>438150</xdr:colOff>
      <xdr:row>976</xdr:row>
      <xdr:rowOff>57150</xdr:rowOff>
    </xdr:to>
    <xdr:sp>
      <xdr:nvSpPr>
        <xdr:cNvPr id="271" name="Line 383"/>
        <xdr:cNvSpPr>
          <a:spLocks/>
        </xdr:cNvSpPr>
      </xdr:nvSpPr>
      <xdr:spPr>
        <a:xfrm>
          <a:off x="1562100" y="1596580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975</xdr:row>
      <xdr:rowOff>133350</xdr:rowOff>
    </xdr:from>
    <xdr:to>
      <xdr:col>3</xdr:col>
      <xdr:colOff>676275</xdr:colOff>
      <xdr:row>976</xdr:row>
      <xdr:rowOff>85725</xdr:rowOff>
    </xdr:to>
    <xdr:sp>
      <xdr:nvSpPr>
        <xdr:cNvPr id="272" name="Arc 384"/>
        <xdr:cNvSpPr>
          <a:spLocks/>
        </xdr:cNvSpPr>
      </xdr:nvSpPr>
      <xdr:spPr>
        <a:xfrm flipH="1">
          <a:off x="2295525" y="159572325"/>
          <a:ext cx="247650" cy="114300"/>
        </a:xfrm>
        <a:custGeom>
          <a:pathLst>
            <a:path fill="none" h="32182" w="43200">
              <a:moveTo>
                <a:pt x="2769" y="32182"/>
              </a:moveTo>
              <a:cubicBezTo>
                <a:pt x="953" y="28950"/>
                <a:pt x="0" y="25306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32182" w="43200">
              <a:moveTo>
                <a:pt x="2769" y="32182"/>
              </a:moveTo>
              <a:cubicBezTo>
                <a:pt x="953" y="28950"/>
                <a:pt x="0" y="25306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975</xdr:row>
      <xdr:rowOff>133350</xdr:rowOff>
    </xdr:from>
    <xdr:to>
      <xdr:col>3</xdr:col>
      <xdr:colOff>914400</xdr:colOff>
      <xdr:row>976</xdr:row>
      <xdr:rowOff>85725</xdr:rowOff>
    </xdr:to>
    <xdr:sp>
      <xdr:nvSpPr>
        <xdr:cNvPr id="273" name="Arc 385"/>
        <xdr:cNvSpPr>
          <a:spLocks/>
        </xdr:cNvSpPr>
      </xdr:nvSpPr>
      <xdr:spPr>
        <a:xfrm flipH="1">
          <a:off x="2533650" y="159572325"/>
          <a:ext cx="247650" cy="114300"/>
        </a:xfrm>
        <a:custGeom>
          <a:pathLst>
            <a:path fill="none" h="32182" w="43200">
              <a:moveTo>
                <a:pt x="2769" y="32182"/>
              </a:moveTo>
              <a:cubicBezTo>
                <a:pt x="953" y="28950"/>
                <a:pt x="0" y="25306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32182" w="43200">
              <a:moveTo>
                <a:pt x="2769" y="32182"/>
              </a:moveTo>
              <a:cubicBezTo>
                <a:pt x="953" y="28950"/>
                <a:pt x="0" y="25306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904875</xdr:colOff>
      <xdr:row>976</xdr:row>
      <xdr:rowOff>57150</xdr:rowOff>
    </xdr:from>
    <xdr:to>
      <xdr:col>4</xdr:col>
      <xdr:colOff>361950</xdr:colOff>
      <xdr:row>976</xdr:row>
      <xdr:rowOff>57150</xdr:rowOff>
    </xdr:to>
    <xdr:sp>
      <xdr:nvSpPr>
        <xdr:cNvPr id="274" name="Line 386"/>
        <xdr:cNvSpPr>
          <a:spLocks/>
        </xdr:cNvSpPr>
      </xdr:nvSpPr>
      <xdr:spPr>
        <a:xfrm>
          <a:off x="2771775" y="15965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975</xdr:row>
      <xdr:rowOff>142875</xdr:rowOff>
    </xdr:from>
    <xdr:to>
      <xdr:col>5</xdr:col>
      <xdr:colOff>228600</xdr:colOff>
      <xdr:row>976</xdr:row>
      <xdr:rowOff>95250</xdr:rowOff>
    </xdr:to>
    <xdr:sp>
      <xdr:nvSpPr>
        <xdr:cNvPr id="275" name="Arc 387"/>
        <xdr:cNvSpPr>
          <a:spLocks/>
        </xdr:cNvSpPr>
      </xdr:nvSpPr>
      <xdr:spPr>
        <a:xfrm flipH="1">
          <a:off x="3495675" y="159581850"/>
          <a:ext cx="323850" cy="114300"/>
        </a:xfrm>
        <a:custGeom>
          <a:pathLst>
            <a:path fill="none" h="32182" w="43200">
              <a:moveTo>
                <a:pt x="2769" y="32182"/>
              </a:moveTo>
              <a:cubicBezTo>
                <a:pt x="953" y="28950"/>
                <a:pt x="0" y="25306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32182" w="43200">
              <a:moveTo>
                <a:pt x="2769" y="32182"/>
              </a:moveTo>
              <a:cubicBezTo>
                <a:pt x="953" y="28950"/>
                <a:pt x="0" y="25306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975</xdr:row>
      <xdr:rowOff>142875</xdr:rowOff>
    </xdr:from>
    <xdr:to>
      <xdr:col>4</xdr:col>
      <xdr:colOff>590550</xdr:colOff>
      <xdr:row>976</xdr:row>
      <xdr:rowOff>95250</xdr:rowOff>
    </xdr:to>
    <xdr:sp>
      <xdr:nvSpPr>
        <xdr:cNvPr id="276" name="Arc 388"/>
        <xdr:cNvSpPr>
          <a:spLocks/>
        </xdr:cNvSpPr>
      </xdr:nvSpPr>
      <xdr:spPr>
        <a:xfrm flipH="1">
          <a:off x="3248025" y="159581850"/>
          <a:ext cx="247650" cy="114300"/>
        </a:xfrm>
        <a:custGeom>
          <a:pathLst>
            <a:path fill="none" h="32182" w="43200">
              <a:moveTo>
                <a:pt x="2769" y="32182"/>
              </a:moveTo>
              <a:cubicBezTo>
                <a:pt x="953" y="28950"/>
                <a:pt x="0" y="25306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32182" w="43200">
              <a:moveTo>
                <a:pt x="2769" y="32182"/>
              </a:moveTo>
              <a:cubicBezTo>
                <a:pt x="953" y="28950"/>
                <a:pt x="0" y="25306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976</xdr:row>
      <xdr:rowOff>57150</xdr:rowOff>
    </xdr:from>
    <xdr:to>
      <xdr:col>6</xdr:col>
      <xdr:colOff>419100</xdr:colOff>
      <xdr:row>976</xdr:row>
      <xdr:rowOff>57150</xdr:rowOff>
    </xdr:to>
    <xdr:sp>
      <xdr:nvSpPr>
        <xdr:cNvPr id="277" name="Line 389"/>
        <xdr:cNvSpPr>
          <a:spLocks/>
        </xdr:cNvSpPr>
      </xdr:nvSpPr>
      <xdr:spPr>
        <a:xfrm>
          <a:off x="3838575" y="1596580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976</xdr:row>
      <xdr:rowOff>57150</xdr:rowOff>
    </xdr:from>
    <xdr:to>
      <xdr:col>6</xdr:col>
      <xdr:colOff>438150</xdr:colOff>
      <xdr:row>978</xdr:row>
      <xdr:rowOff>85725</xdr:rowOff>
    </xdr:to>
    <xdr:sp>
      <xdr:nvSpPr>
        <xdr:cNvPr id="278" name="Line 390"/>
        <xdr:cNvSpPr>
          <a:spLocks/>
        </xdr:cNvSpPr>
      </xdr:nvSpPr>
      <xdr:spPr>
        <a:xfrm flipV="1">
          <a:off x="4638675" y="1596580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980</xdr:row>
      <xdr:rowOff>142875</xdr:rowOff>
    </xdr:from>
    <xdr:to>
      <xdr:col>6</xdr:col>
      <xdr:colOff>447675</xdr:colOff>
      <xdr:row>980</xdr:row>
      <xdr:rowOff>142875</xdr:rowOff>
    </xdr:to>
    <xdr:sp>
      <xdr:nvSpPr>
        <xdr:cNvPr id="279" name="Line 393"/>
        <xdr:cNvSpPr>
          <a:spLocks/>
        </xdr:cNvSpPr>
      </xdr:nvSpPr>
      <xdr:spPr>
        <a:xfrm>
          <a:off x="1552575" y="160391475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976</xdr:row>
      <xdr:rowOff>47625</xdr:rowOff>
    </xdr:from>
    <xdr:to>
      <xdr:col>4</xdr:col>
      <xdr:colOff>123825</xdr:colOff>
      <xdr:row>978</xdr:row>
      <xdr:rowOff>38100</xdr:rowOff>
    </xdr:to>
    <xdr:sp>
      <xdr:nvSpPr>
        <xdr:cNvPr id="280" name="Line 394"/>
        <xdr:cNvSpPr>
          <a:spLocks/>
        </xdr:cNvSpPr>
      </xdr:nvSpPr>
      <xdr:spPr>
        <a:xfrm>
          <a:off x="3028950" y="15964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978</xdr:row>
      <xdr:rowOff>28575</xdr:rowOff>
    </xdr:from>
    <xdr:to>
      <xdr:col>4</xdr:col>
      <xdr:colOff>171450</xdr:colOff>
      <xdr:row>980</xdr:row>
      <xdr:rowOff>19050</xdr:rowOff>
    </xdr:to>
    <xdr:sp>
      <xdr:nvSpPr>
        <xdr:cNvPr id="281" name="Rectangle 395"/>
        <xdr:cNvSpPr>
          <a:spLocks/>
        </xdr:cNvSpPr>
      </xdr:nvSpPr>
      <xdr:spPr>
        <a:xfrm>
          <a:off x="3000375" y="159953325"/>
          <a:ext cx="762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976</xdr:row>
      <xdr:rowOff>104775</xdr:rowOff>
    </xdr:from>
    <xdr:to>
      <xdr:col>2</xdr:col>
      <xdr:colOff>95250</xdr:colOff>
      <xdr:row>980</xdr:row>
      <xdr:rowOff>152400</xdr:rowOff>
    </xdr:to>
    <xdr:sp>
      <xdr:nvSpPr>
        <xdr:cNvPr id="282" name="Line 397"/>
        <xdr:cNvSpPr>
          <a:spLocks/>
        </xdr:cNvSpPr>
      </xdr:nvSpPr>
      <xdr:spPr>
        <a:xfrm flipV="1">
          <a:off x="1314450" y="1597056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976</xdr:row>
      <xdr:rowOff>85725</xdr:rowOff>
    </xdr:from>
    <xdr:to>
      <xdr:col>6</xdr:col>
      <xdr:colOff>590550</xdr:colOff>
      <xdr:row>980</xdr:row>
      <xdr:rowOff>133350</xdr:rowOff>
    </xdr:to>
    <xdr:sp>
      <xdr:nvSpPr>
        <xdr:cNvPr id="283" name="Line 398"/>
        <xdr:cNvSpPr>
          <a:spLocks/>
        </xdr:cNvSpPr>
      </xdr:nvSpPr>
      <xdr:spPr>
        <a:xfrm flipV="1">
          <a:off x="4791075" y="15968662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976</xdr:row>
      <xdr:rowOff>104775</xdr:rowOff>
    </xdr:from>
    <xdr:to>
      <xdr:col>3</xdr:col>
      <xdr:colOff>838200</xdr:colOff>
      <xdr:row>980</xdr:row>
      <xdr:rowOff>152400</xdr:rowOff>
    </xdr:to>
    <xdr:sp>
      <xdr:nvSpPr>
        <xdr:cNvPr id="284" name="Line 399"/>
        <xdr:cNvSpPr>
          <a:spLocks/>
        </xdr:cNvSpPr>
      </xdr:nvSpPr>
      <xdr:spPr>
        <a:xfrm flipV="1">
          <a:off x="2705100" y="1597056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976</xdr:row>
      <xdr:rowOff>57150</xdr:rowOff>
    </xdr:from>
    <xdr:to>
      <xdr:col>3</xdr:col>
      <xdr:colOff>333375</xdr:colOff>
      <xdr:row>976</xdr:row>
      <xdr:rowOff>57150</xdr:rowOff>
    </xdr:to>
    <xdr:sp>
      <xdr:nvSpPr>
        <xdr:cNvPr id="285" name="Line 400"/>
        <xdr:cNvSpPr>
          <a:spLocks/>
        </xdr:cNvSpPr>
      </xdr:nvSpPr>
      <xdr:spPr>
        <a:xfrm>
          <a:off x="1647825" y="1596580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976</xdr:row>
      <xdr:rowOff>66675</xdr:rowOff>
    </xdr:from>
    <xdr:to>
      <xdr:col>6</xdr:col>
      <xdr:colOff>447675</xdr:colOff>
      <xdr:row>976</xdr:row>
      <xdr:rowOff>66675</xdr:rowOff>
    </xdr:to>
    <xdr:sp>
      <xdr:nvSpPr>
        <xdr:cNvPr id="286" name="Line 401"/>
        <xdr:cNvSpPr>
          <a:spLocks/>
        </xdr:cNvSpPr>
      </xdr:nvSpPr>
      <xdr:spPr>
        <a:xfrm flipH="1">
          <a:off x="4067175" y="1596675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976</xdr:row>
      <xdr:rowOff>47625</xdr:rowOff>
    </xdr:from>
    <xdr:to>
      <xdr:col>4</xdr:col>
      <xdr:colOff>123825</xdr:colOff>
      <xdr:row>977</xdr:row>
      <xdr:rowOff>85725</xdr:rowOff>
    </xdr:to>
    <xdr:sp>
      <xdr:nvSpPr>
        <xdr:cNvPr id="287" name="Line 402"/>
        <xdr:cNvSpPr>
          <a:spLocks/>
        </xdr:cNvSpPr>
      </xdr:nvSpPr>
      <xdr:spPr>
        <a:xfrm>
          <a:off x="3028950" y="159648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994</xdr:row>
      <xdr:rowOff>57150</xdr:rowOff>
    </xdr:from>
    <xdr:to>
      <xdr:col>4</xdr:col>
      <xdr:colOff>400050</xdr:colOff>
      <xdr:row>994</xdr:row>
      <xdr:rowOff>142875</xdr:rowOff>
    </xdr:to>
    <xdr:sp>
      <xdr:nvSpPr>
        <xdr:cNvPr id="288" name="Freeform 403"/>
        <xdr:cNvSpPr>
          <a:spLocks/>
        </xdr:cNvSpPr>
      </xdr:nvSpPr>
      <xdr:spPr>
        <a:xfrm>
          <a:off x="2295525" y="162572700"/>
          <a:ext cx="1009650" cy="85725"/>
        </a:xfrm>
        <a:custGeom>
          <a:pathLst>
            <a:path h="9" w="61">
              <a:moveTo>
                <a:pt x="0" y="1"/>
              </a:moveTo>
              <a:cubicBezTo>
                <a:pt x="3" y="3"/>
                <a:pt x="6" y="4"/>
                <a:pt x="10" y="5"/>
              </a:cubicBezTo>
              <a:cubicBezTo>
                <a:pt x="17" y="3"/>
                <a:pt x="19" y="3"/>
                <a:pt x="27" y="4"/>
              </a:cubicBezTo>
              <a:cubicBezTo>
                <a:pt x="29" y="9"/>
                <a:pt x="25" y="5"/>
                <a:pt x="29" y="2"/>
              </a:cubicBezTo>
              <a:cubicBezTo>
                <a:pt x="34" y="3"/>
                <a:pt x="36" y="4"/>
                <a:pt x="40" y="6"/>
              </a:cubicBezTo>
              <a:cubicBezTo>
                <a:pt x="42" y="7"/>
                <a:pt x="46" y="8"/>
                <a:pt x="46" y="8"/>
              </a:cubicBezTo>
              <a:cubicBezTo>
                <a:pt x="51" y="7"/>
                <a:pt x="54" y="7"/>
                <a:pt x="58" y="4"/>
              </a:cubicBezTo>
              <a:cubicBezTo>
                <a:pt x="60" y="1"/>
                <a:pt x="59" y="2"/>
                <a:pt x="6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995</xdr:row>
      <xdr:rowOff>0</xdr:rowOff>
    </xdr:from>
    <xdr:to>
      <xdr:col>5</xdr:col>
      <xdr:colOff>28575</xdr:colOff>
      <xdr:row>995</xdr:row>
      <xdr:rowOff>95250</xdr:rowOff>
    </xdr:to>
    <xdr:sp>
      <xdr:nvSpPr>
        <xdr:cNvPr id="289" name="Line 404"/>
        <xdr:cNvSpPr>
          <a:spLocks/>
        </xdr:cNvSpPr>
      </xdr:nvSpPr>
      <xdr:spPr>
        <a:xfrm>
          <a:off x="3067050" y="162677475"/>
          <a:ext cx="5524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1025</xdr:row>
      <xdr:rowOff>19050</xdr:rowOff>
    </xdr:from>
    <xdr:to>
      <xdr:col>5</xdr:col>
      <xdr:colOff>9525</xdr:colOff>
      <xdr:row>1025</xdr:row>
      <xdr:rowOff>19050</xdr:rowOff>
    </xdr:to>
    <xdr:sp>
      <xdr:nvSpPr>
        <xdr:cNvPr id="290" name="Line 406"/>
        <xdr:cNvSpPr>
          <a:spLocks/>
        </xdr:cNvSpPr>
      </xdr:nvSpPr>
      <xdr:spPr>
        <a:xfrm>
          <a:off x="1885950" y="167554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1025</xdr:row>
      <xdr:rowOff>19050</xdr:rowOff>
    </xdr:from>
    <xdr:to>
      <xdr:col>3</xdr:col>
      <xdr:colOff>609600</xdr:colOff>
      <xdr:row>1027</xdr:row>
      <xdr:rowOff>133350</xdr:rowOff>
    </xdr:to>
    <xdr:sp>
      <xdr:nvSpPr>
        <xdr:cNvPr id="291" name="Line 407"/>
        <xdr:cNvSpPr>
          <a:spLocks/>
        </xdr:cNvSpPr>
      </xdr:nvSpPr>
      <xdr:spPr>
        <a:xfrm>
          <a:off x="1885950" y="167554275"/>
          <a:ext cx="590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1021</xdr:row>
      <xdr:rowOff>152400</xdr:rowOff>
    </xdr:from>
    <xdr:to>
      <xdr:col>5</xdr:col>
      <xdr:colOff>514350</xdr:colOff>
      <xdr:row>1025</xdr:row>
      <xdr:rowOff>19050</xdr:rowOff>
    </xdr:to>
    <xdr:sp>
      <xdr:nvSpPr>
        <xdr:cNvPr id="292" name="Line 408"/>
        <xdr:cNvSpPr>
          <a:spLocks/>
        </xdr:cNvSpPr>
      </xdr:nvSpPr>
      <xdr:spPr>
        <a:xfrm flipV="1">
          <a:off x="3590925" y="167039925"/>
          <a:ext cx="514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1022</xdr:row>
      <xdr:rowOff>9525</xdr:rowOff>
    </xdr:from>
    <xdr:to>
      <xdr:col>5</xdr:col>
      <xdr:colOff>523875</xdr:colOff>
      <xdr:row>1025</xdr:row>
      <xdr:rowOff>19050</xdr:rowOff>
    </xdr:to>
    <xdr:sp>
      <xdr:nvSpPr>
        <xdr:cNvPr id="293" name="Line 409"/>
        <xdr:cNvSpPr>
          <a:spLocks/>
        </xdr:cNvSpPr>
      </xdr:nvSpPr>
      <xdr:spPr>
        <a:xfrm flipV="1">
          <a:off x="1895475" y="167058975"/>
          <a:ext cx="22193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1024</xdr:row>
      <xdr:rowOff>76200</xdr:rowOff>
    </xdr:from>
    <xdr:to>
      <xdr:col>3</xdr:col>
      <xdr:colOff>609600</xdr:colOff>
      <xdr:row>1025</xdr:row>
      <xdr:rowOff>28575</xdr:rowOff>
    </xdr:to>
    <xdr:sp>
      <xdr:nvSpPr>
        <xdr:cNvPr id="294" name="Arc 410"/>
        <xdr:cNvSpPr>
          <a:spLocks/>
        </xdr:cNvSpPr>
      </xdr:nvSpPr>
      <xdr:spPr>
        <a:xfrm>
          <a:off x="2400300" y="167449500"/>
          <a:ext cx="76200" cy="1143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1025</xdr:row>
      <xdr:rowOff>38100</xdr:rowOff>
    </xdr:from>
    <xdr:to>
      <xdr:col>3</xdr:col>
      <xdr:colOff>419100</xdr:colOff>
      <xdr:row>1026</xdr:row>
      <xdr:rowOff>142875</xdr:rowOff>
    </xdr:to>
    <xdr:sp>
      <xdr:nvSpPr>
        <xdr:cNvPr id="295" name="Arc 411"/>
        <xdr:cNvSpPr>
          <a:spLocks/>
        </xdr:cNvSpPr>
      </xdr:nvSpPr>
      <xdr:spPr>
        <a:xfrm>
          <a:off x="2085975" y="167573325"/>
          <a:ext cx="200025" cy="266700"/>
        </a:xfrm>
        <a:custGeom>
          <a:pathLst>
            <a:path fill="none" h="19974" w="21600">
              <a:moveTo>
                <a:pt x="15332" y="0"/>
              </a:moveTo>
              <a:cubicBezTo>
                <a:pt x="19347" y="4045"/>
                <a:pt x="21600" y="9514"/>
                <a:pt x="21600" y="15214"/>
              </a:cubicBezTo>
              <a:cubicBezTo>
                <a:pt x="21600" y="16815"/>
                <a:pt x="21421" y="18411"/>
                <a:pt x="21068" y="19973"/>
              </a:cubicBezTo>
            </a:path>
            <a:path stroke="0" h="19974" w="21600">
              <a:moveTo>
                <a:pt x="15332" y="0"/>
              </a:moveTo>
              <a:cubicBezTo>
                <a:pt x="19347" y="4045"/>
                <a:pt x="21600" y="9514"/>
                <a:pt x="21600" y="15214"/>
              </a:cubicBezTo>
              <a:cubicBezTo>
                <a:pt x="21600" y="16815"/>
                <a:pt x="21421" y="18411"/>
                <a:pt x="21068" y="19973"/>
              </a:cubicBezTo>
              <a:lnTo>
                <a:pt x="0" y="1521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1040</xdr:row>
      <xdr:rowOff>19050</xdr:rowOff>
    </xdr:from>
    <xdr:to>
      <xdr:col>5</xdr:col>
      <xdr:colOff>9525</xdr:colOff>
      <xdr:row>1040</xdr:row>
      <xdr:rowOff>19050</xdr:rowOff>
    </xdr:to>
    <xdr:sp>
      <xdr:nvSpPr>
        <xdr:cNvPr id="296" name="Line 412"/>
        <xdr:cNvSpPr>
          <a:spLocks/>
        </xdr:cNvSpPr>
      </xdr:nvSpPr>
      <xdr:spPr>
        <a:xfrm>
          <a:off x="1885950" y="1699831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1040</xdr:row>
      <xdr:rowOff>19050</xdr:rowOff>
    </xdr:from>
    <xdr:to>
      <xdr:col>3</xdr:col>
      <xdr:colOff>609600</xdr:colOff>
      <xdr:row>1042</xdr:row>
      <xdr:rowOff>133350</xdr:rowOff>
    </xdr:to>
    <xdr:sp>
      <xdr:nvSpPr>
        <xdr:cNvPr id="297" name="Line 413"/>
        <xdr:cNvSpPr>
          <a:spLocks/>
        </xdr:cNvSpPr>
      </xdr:nvSpPr>
      <xdr:spPr>
        <a:xfrm>
          <a:off x="1885950" y="169983150"/>
          <a:ext cx="590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1036</xdr:row>
      <xdr:rowOff>152400</xdr:rowOff>
    </xdr:from>
    <xdr:to>
      <xdr:col>5</xdr:col>
      <xdr:colOff>514350</xdr:colOff>
      <xdr:row>1040</xdr:row>
      <xdr:rowOff>19050</xdr:rowOff>
    </xdr:to>
    <xdr:sp>
      <xdr:nvSpPr>
        <xdr:cNvPr id="298" name="Line 414"/>
        <xdr:cNvSpPr>
          <a:spLocks/>
        </xdr:cNvSpPr>
      </xdr:nvSpPr>
      <xdr:spPr>
        <a:xfrm flipV="1">
          <a:off x="3590925" y="169468800"/>
          <a:ext cx="514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1037</xdr:row>
      <xdr:rowOff>9525</xdr:rowOff>
    </xdr:from>
    <xdr:to>
      <xdr:col>5</xdr:col>
      <xdr:colOff>523875</xdr:colOff>
      <xdr:row>1040</xdr:row>
      <xdr:rowOff>19050</xdr:rowOff>
    </xdr:to>
    <xdr:sp>
      <xdr:nvSpPr>
        <xdr:cNvPr id="299" name="Line 415"/>
        <xdr:cNvSpPr>
          <a:spLocks/>
        </xdr:cNvSpPr>
      </xdr:nvSpPr>
      <xdr:spPr>
        <a:xfrm flipV="1">
          <a:off x="1895475" y="169487850"/>
          <a:ext cx="22193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1039</xdr:row>
      <xdr:rowOff>76200</xdr:rowOff>
    </xdr:from>
    <xdr:to>
      <xdr:col>3</xdr:col>
      <xdr:colOff>609600</xdr:colOff>
      <xdr:row>1040</xdr:row>
      <xdr:rowOff>28575</xdr:rowOff>
    </xdr:to>
    <xdr:sp>
      <xdr:nvSpPr>
        <xdr:cNvPr id="300" name="Arc 416"/>
        <xdr:cNvSpPr>
          <a:spLocks/>
        </xdr:cNvSpPr>
      </xdr:nvSpPr>
      <xdr:spPr>
        <a:xfrm>
          <a:off x="2400300" y="169878375"/>
          <a:ext cx="76200" cy="1143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1040</xdr:row>
      <xdr:rowOff>19050</xdr:rowOff>
    </xdr:from>
    <xdr:to>
      <xdr:col>3</xdr:col>
      <xdr:colOff>419100</xdr:colOff>
      <xdr:row>1041</xdr:row>
      <xdr:rowOff>142875</xdr:rowOff>
    </xdr:to>
    <xdr:sp>
      <xdr:nvSpPr>
        <xdr:cNvPr id="301" name="Arc 417"/>
        <xdr:cNvSpPr>
          <a:spLocks/>
        </xdr:cNvSpPr>
      </xdr:nvSpPr>
      <xdr:spPr>
        <a:xfrm>
          <a:off x="1914525" y="169983150"/>
          <a:ext cx="371475" cy="285750"/>
        </a:xfrm>
        <a:custGeom>
          <a:pathLst>
            <a:path fill="none" h="21698" w="21600">
              <a:moveTo>
                <a:pt x="13403" y="0"/>
              </a:moveTo>
              <a:cubicBezTo>
                <a:pt x="18580" y="4096"/>
                <a:pt x="21600" y="10336"/>
                <a:pt x="21600" y="16938"/>
              </a:cubicBezTo>
              <a:cubicBezTo>
                <a:pt x="21600" y="18539"/>
                <a:pt x="21421" y="20135"/>
                <a:pt x="21068" y="21697"/>
              </a:cubicBezTo>
            </a:path>
            <a:path stroke="0" h="21698" w="21600">
              <a:moveTo>
                <a:pt x="13403" y="0"/>
              </a:moveTo>
              <a:cubicBezTo>
                <a:pt x="18580" y="4096"/>
                <a:pt x="21600" y="10336"/>
                <a:pt x="21600" y="16938"/>
              </a:cubicBezTo>
              <a:cubicBezTo>
                <a:pt x="21600" y="18539"/>
                <a:pt x="21421" y="20135"/>
                <a:pt x="21068" y="21697"/>
              </a:cubicBezTo>
              <a:lnTo>
                <a:pt x="0" y="1693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1037</xdr:row>
      <xdr:rowOff>76200</xdr:rowOff>
    </xdr:from>
    <xdr:to>
      <xdr:col>3</xdr:col>
      <xdr:colOff>28575</xdr:colOff>
      <xdr:row>1040</xdr:row>
      <xdr:rowOff>19050</xdr:rowOff>
    </xdr:to>
    <xdr:sp>
      <xdr:nvSpPr>
        <xdr:cNvPr id="302" name="Line 418"/>
        <xdr:cNvSpPr>
          <a:spLocks/>
        </xdr:cNvSpPr>
      </xdr:nvSpPr>
      <xdr:spPr>
        <a:xfrm flipV="1">
          <a:off x="1895475" y="1695545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1040</xdr:row>
      <xdr:rowOff>28575</xdr:rowOff>
    </xdr:from>
    <xdr:to>
      <xdr:col>3</xdr:col>
      <xdr:colOff>28575</xdr:colOff>
      <xdr:row>1042</xdr:row>
      <xdr:rowOff>123825</xdr:rowOff>
    </xdr:to>
    <xdr:sp>
      <xdr:nvSpPr>
        <xdr:cNvPr id="303" name="Line 419"/>
        <xdr:cNvSpPr>
          <a:spLocks/>
        </xdr:cNvSpPr>
      </xdr:nvSpPr>
      <xdr:spPr>
        <a:xfrm>
          <a:off x="1895475" y="1699926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1037</xdr:row>
      <xdr:rowOff>9525</xdr:rowOff>
    </xdr:from>
    <xdr:to>
      <xdr:col>5</xdr:col>
      <xdr:colOff>495300</xdr:colOff>
      <xdr:row>1037</xdr:row>
      <xdr:rowOff>9525</xdr:rowOff>
    </xdr:to>
    <xdr:sp>
      <xdr:nvSpPr>
        <xdr:cNvPr id="304" name="Line 420"/>
        <xdr:cNvSpPr>
          <a:spLocks/>
        </xdr:cNvSpPr>
      </xdr:nvSpPr>
      <xdr:spPr>
        <a:xfrm flipH="1">
          <a:off x="3095625" y="1694878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1037</xdr:row>
      <xdr:rowOff>19050</xdr:rowOff>
    </xdr:from>
    <xdr:to>
      <xdr:col>7</xdr:col>
      <xdr:colOff>133350</xdr:colOff>
      <xdr:row>1037</xdr:row>
      <xdr:rowOff>19050</xdr:rowOff>
    </xdr:to>
    <xdr:sp>
      <xdr:nvSpPr>
        <xdr:cNvPr id="305" name="Line 421"/>
        <xdr:cNvSpPr>
          <a:spLocks/>
        </xdr:cNvSpPr>
      </xdr:nvSpPr>
      <xdr:spPr>
        <a:xfrm>
          <a:off x="4114800" y="169497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1037</xdr:row>
      <xdr:rowOff>38100</xdr:rowOff>
    </xdr:from>
    <xdr:to>
      <xdr:col>4</xdr:col>
      <xdr:colOff>200025</xdr:colOff>
      <xdr:row>1040</xdr:row>
      <xdr:rowOff>0</xdr:rowOff>
    </xdr:to>
    <xdr:sp>
      <xdr:nvSpPr>
        <xdr:cNvPr id="306" name="Line 422"/>
        <xdr:cNvSpPr>
          <a:spLocks/>
        </xdr:cNvSpPr>
      </xdr:nvSpPr>
      <xdr:spPr>
        <a:xfrm flipV="1">
          <a:off x="1914525" y="169516425"/>
          <a:ext cx="11906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1037</xdr:row>
      <xdr:rowOff>47625</xdr:rowOff>
    </xdr:from>
    <xdr:to>
      <xdr:col>7</xdr:col>
      <xdr:colOff>66675</xdr:colOff>
      <xdr:row>1039</xdr:row>
      <xdr:rowOff>152400</xdr:rowOff>
    </xdr:to>
    <xdr:sp>
      <xdr:nvSpPr>
        <xdr:cNvPr id="307" name="Line 423"/>
        <xdr:cNvSpPr>
          <a:spLocks/>
        </xdr:cNvSpPr>
      </xdr:nvSpPr>
      <xdr:spPr>
        <a:xfrm flipV="1">
          <a:off x="1952625" y="169525950"/>
          <a:ext cx="29241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1040</xdr:row>
      <xdr:rowOff>28575</xdr:rowOff>
    </xdr:from>
    <xdr:to>
      <xdr:col>3</xdr:col>
      <xdr:colOff>876300</xdr:colOff>
      <xdr:row>1040</xdr:row>
      <xdr:rowOff>142875</xdr:rowOff>
    </xdr:to>
    <xdr:sp>
      <xdr:nvSpPr>
        <xdr:cNvPr id="308" name="Line 425"/>
        <xdr:cNvSpPr>
          <a:spLocks/>
        </xdr:cNvSpPr>
      </xdr:nvSpPr>
      <xdr:spPr>
        <a:xfrm>
          <a:off x="1933575" y="169992675"/>
          <a:ext cx="8096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1040</xdr:row>
      <xdr:rowOff>38100</xdr:rowOff>
    </xdr:from>
    <xdr:to>
      <xdr:col>3</xdr:col>
      <xdr:colOff>733425</xdr:colOff>
      <xdr:row>1046</xdr:row>
      <xdr:rowOff>133350</xdr:rowOff>
    </xdr:to>
    <xdr:sp>
      <xdr:nvSpPr>
        <xdr:cNvPr id="309" name="Line 426"/>
        <xdr:cNvSpPr>
          <a:spLocks/>
        </xdr:cNvSpPr>
      </xdr:nvSpPr>
      <xdr:spPr>
        <a:xfrm>
          <a:off x="1885950" y="170002200"/>
          <a:ext cx="714375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979</xdr:row>
      <xdr:rowOff>142875</xdr:rowOff>
    </xdr:from>
    <xdr:to>
      <xdr:col>2</xdr:col>
      <xdr:colOff>352425</xdr:colOff>
      <xdr:row>981</xdr:row>
      <xdr:rowOff>0</xdr:rowOff>
    </xdr:to>
    <xdr:sp>
      <xdr:nvSpPr>
        <xdr:cNvPr id="310" name="Line 430"/>
        <xdr:cNvSpPr>
          <a:spLocks/>
        </xdr:cNvSpPr>
      </xdr:nvSpPr>
      <xdr:spPr>
        <a:xfrm flipV="1">
          <a:off x="1571625" y="1602295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980</xdr:row>
      <xdr:rowOff>9525</xdr:rowOff>
    </xdr:from>
    <xdr:to>
      <xdr:col>4</xdr:col>
      <xdr:colOff>123825</xdr:colOff>
      <xdr:row>980</xdr:row>
      <xdr:rowOff>152400</xdr:rowOff>
    </xdr:to>
    <xdr:sp>
      <xdr:nvSpPr>
        <xdr:cNvPr id="311" name="Line 431"/>
        <xdr:cNvSpPr>
          <a:spLocks/>
        </xdr:cNvSpPr>
      </xdr:nvSpPr>
      <xdr:spPr>
        <a:xfrm flipV="1">
          <a:off x="3028950" y="160258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979</xdr:row>
      <xdr:rowOff>133350</xdr:rowOff>
    </xdr:from>
    <xdr:to>
      <xdr:col>6</xdr:col>
      <xdr:colOff>428625</xdr:colOff>
      <xdr:row>980</xdr:row>
      <xdr:rowOff>152400</xdr:rowOff>
    </xdr:to>
    <xdr:sp>
      <xdr:nvSpPr>
        <xdr:cNvPr id="312" name="Line 432"/>
        <xdr:cNvSpPr>
          <a:spLocks/>
        </xdr:cNvSpPr>
      </xdr:nvSpPr>
      <xdr:spPr>
        <a:xfrm flipV="1">
          <a:off x="4629150" y="1602200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318</xdr:row>
      <xdr:rowOff>0</xdr:rowOff>
    </xdr:from>
    <xdr:to>
      <xdr:col>4</xdr:col>
      <xdr:colOff>666750</xdr:colOff>
      <xdr:row>319</xdr:row>
      <xdr:rowOff>0</xdr:rowOff>
    </xdr:to>
    <xdr:sp>
      <xdr:nvSpPr>
        <xdr:cNvPr id="313" name="Oval 434"/>
        <xdr:cNvSpPr>
          <a:spLocks/>
        </xdr:cNvSpPr>
      </xdr:nvSpPr>
      <xdr:spPr>
        <a:xfrm>
          <a:off x="3419475" y="52825650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555</xdr:row>
      <xdr:rowOff>38100</xdr:rowOff>
    </xdr:from>
    <xdr:to>
      <xdr:col>5</xdr:col>
      <xdr:colOff>381000</xdr:colOff>
      <xdr:row>555</xdr:row>
      <xdr:rowOff>133350</xdr:rowOff>
    </xdr:to>
    <xdr:sp>
      <xdr:nvSpPr>
        <xdr:cNvPr id="314" name="Line 435"/>
        <xdr:cNvSpPr>
          <a:spLocks/>
        </xdr:cNvSpPr>
      </xdr:nvSpPr>
      <xdr:spPr>
        <a:xfrm flipV="1">
          <a:off x="3876675" y="913352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607</xdr:row>
      <xdr:rowOff>9525</xdr:rowOff>
    </xdr:from>
    <xdr:to>
      <xdr:col>3</xdr:col>
      <xdr:colOff>781050</xdr:colOff>
      <xdr:row>607</xdr:row>
      <xdr:rowOff>9525</xdr:rowOff>
    </xdr:to>
    <xdr:sp>
      <xdr:nvSpPr>
        <xdr:cNvPr id="315" name="Line 436"/>
        <xdr:cNvSpPr>
          <a:spLocks/>
        </xdr:cNvSpPr>
      </xdr:nvSpPr>
      <xdr:spPr>
        <a:xfrm>
          <a:off x="2266950" y="99745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776</xdr:row>
      <xdr:rowOff>28575</xdr:rowOff>
    </xdr:from>
    <xdr:to>
      <xdr:col>2</xdr:col>
      <xdr:colOff>581025</xdr:colOff>
      <xdr:row>777</xdr:row>
      <xdr:rowOff>76200</xdr:rowOff>
    </xdr:to>
    <xdr:sp>
      <xdr:nvSpPr>
        <xdr:cNvPr id="316" name="Line 437"/>
        <xdr:cNvSpPr>
          <a:spLocks/>
        </xdr:cNvSpPr>
      </xdr:nvSpPr>
      <xdr:spPr>
        <a:xfrm flipV="1">
          <a:off x="1800225" y="1271873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785</xdr:row>
      <xdr:rowOff>38100</xdr:rowOff>
    </xdr:from>
    <xdr:to>
      <xdr:col>6</xdr:col>
      <xdr:colOff>85725</xdr:colOff>
      <xdr:row>785</xdr:row>
      <xdr:rowOff>47625</xdr:rowOff>
    </xdr:to>
    <xdr:sp>
      <xdr:nvSpPr>
        <xdr:cNvPr id="317" name="Line 438"/>
        <xdr:cNvSpPr>
          <a:spLocks/>
        </xdr:cNvSpPr>
      </xdr:nvSpPr>
      <xdr:spPr>
        <a:xfrm flipV="1">
          <a:off x="4038600" y="128654175"/>
          <a:ext cx="247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HAPTER0.xls#A1" TargetMode="External" /><Relationship Id="rId2" Type="http://schemas.openxmlformats.org/officeDocument/2006/relationships/hyperlink" Target="http://cindulkar.tripod.com/index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9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3" max="3" width="9.7109375" style="0" customWidth="1"/>
    <col min="4" max="4" width="15.57421875" style="0" bestFit="1" customWidth="1"/>
    <col min="5" max="5" width="10.28125" style="0" customWidth="1"/>
  </cols>
  <sheetData>
    <row r="1" spans="4:6" ht="15.75">
      <c r="D1" s="39" t="s">
        <v>500</v>
      </c>
      <c r="F1" s="21"/>
    </row>
    <row r="2" spans="1:9" ht="18">
      <c r="A2" s="1" t="s">
        <v>382</v>
      </c>
      <c r="B2" s="1"/>
      <c r="C2" s="1"/>
      <c r="D2" s="1"/>
      <c r="E2" s="1"/>
      <c r="F2" s="21"/>
      <c r="H2" s="44"/>
      <c r="I2" s="44"/>
    </row>
    <row r="3" spans="1:9" ht="18">
      <c r="A3" s="1" t="s">
        <v>286</v>
      </c>
      <c r="G3" s="45"/>
      <c r="H3" s="45"/>
      <c r="I3" s="45"/>
    </row>
    <row r="4" spans="1:9" ht="12.75">
      <c r="A4" s="17" t="s">
        <v>1</v>
      </c>
      <c r="B4" s="13"/>
      <c r="F4" s="17" t="s">
        <v>0</v>
      </c>
      <c r="G4" s="45"/>
      <c r="H4" s="45"/>
      <c r="I4" s="45"/>
    </row>
    <row r="5" spans="1:9" ht="12.75">
      <c r="A5" t="s">
        <v>2</v>
      </c>
      <c r="F5" s="19">
        <v>2.1</v>
      </c>
      <c r="G5" s="45"/>
      <c r="H5" s="45"/>
      <c r="I5" s="45"/>
    </row>
    <row r="6" spans="1:9" ht="12.75">
      <c r="A6" s="7" t="s">
        <v>3</v>
      </c>
      <c r="F6" s="19">
        <v>2.2</v>
      </c>
      <c r="G6" s="45"/>
      <c r="H6" s="45"/>
      <c r="I6" s="45"/>
    </row>
    <row r="7" spans="1:9" ht="12.75">
      <c r="A7" t="s">
        <v>4</v>
      </c>
      <c r="F7" s="19">
        <v>2.3</v>
      </c>
      <c r="G7" s="45"/>
      <c r="H7" s="45"/>
      <c r="I7" s="45"/>
    </row>
    <row r="8" spans="1:9" ht="12.75">
      <c r="A8" s="3" t="s">
        <v>5</v>
      </c>
      <c r="F8" s="19">
        <v>2.4</v>
      </c>
      <c r="G8" s="45"/>
      <c r="H8" s="45"/>
      <c r="I8" s="45"/>
    </row>
    <row r="9" spans="1:9" ht="18">
      <c r="A9" t="s">
        <v>595</v>
      </c>
      <c r="F9" s="19">
        <v>2.5</v>
      </c>
      <c r="G9" s="1"/>
      <c r="H9" s="1"/>
      <c r="I9" s="1"/>
    </row>
    <row r="10" spans="1:9" ht="18">
      <c r="A10" t="s">
        <v>596</v>
      </c>
      <c r="F10" s="19">
        <v>2.6</v>
      </c>
      <c r="G10" s="1"/>
      <c r="H10" s="1"/>
      <c r="I10" s="1"/>
    </row>
    <row r="11" spans="1:9" ht="18">
      <c r="A11" t="s">
        <v>6</v>
      </c>
      <c r="F11" s="19">
        <v>2.7</v>
      </c>
      <c r="G11" s="1"/>
      <c r="H11" s="1"/>
      <c r="I11" s="1"/>
    </row>
    <row r="12" spans="1:9" ht="18">
      <c r="A12" s="7" t="s">
        <v>7</v>
      </c>
      <c r="F12" s="19">
        <v>2.8</v>
      </c>
      <c r="G12" s="1"/>
      <c r="H12" s="1"/>
      <c r="I12" s="1"/>
    </row>
    <row r="13" spans="1:9" ht="18">
      <c r="A13" t="s">
        <v>8</v>
      </c>
      <c r="F13" s="19">
        <v>2.9</v>
      </c>
      <c r="G13" s="1"/>
      <c r="H13" s="1"/>
      <c r="I13" s="1"/>
    </row>
    <row r="14" spans="1:9" ht="18">
      <c r="A14" s="7" t="s">
        <v>9</v>
      </c>
      <c r="F14" s="20">
        <v>2.1</v>
      </c>
      <c r="G14" s="1"/>
      <c r="H14" s="1"/>
      <c r="I14" s="1"/>
    </row>
    <row r="15" spans="1:9" ht="18">
      <c r="A15" t="s">
        <v>10</v>
      </c>
      <c r="F15" s="19">
        <v>2.11</v>
      </c>
      <c r="G15" s="1"/>
      <c r="H15" s="1"/>
      <c r="I15" s="1"/>
    </row>
    <row r="16" spans="1:9" ht="18">
      <c r="A16" t="s">
        <v>11</v>
      </c>
      <c r="F16" s="19">
        <v>2.12</v>
      </c>
      <c r="G16" s="1"/>
      <c r="H16" s="1"/>
      <c r="I16" s="1"/>
    </row>
    <row r="17" spans="1:9" ht="18">
      <c r="A17" t="s">
        <v>597</v>
      </c>
      <c r="F17" s="19">
        <v>2.13</v>
      </c>
      <c r="H17" s="1"/>
      <c r="I17" s="1"/>
    </row>
    <row r="18" spans="1:9" ht="18">
      <c r="A18" t="s">
        <v>594</v>
      </c>
      <c r="F18" s="19" t="s">
        <v>285</v>
      </c>
      <c r="G18" s="1"/>
      <c r="H18" s="1"/>
      <c r="I18" s="1"/>
    </row>
    <row r="19" spans="1:9" ht="18">
      <c r="A19" s="22" t="s">
        <v>288</v>
      </c>
      <c r="F19" s="19">
        <v>2.14</v>
      </c>
      <c r="G19" s="2"/>
      <c r="H19" s="1"/>
      <c r="I19" s="1"/>
    </row>
    <row r="20" spans="1:9" ht="18">
      <c r="A20" t="s">
        <v>305</v>
      </c>
      <c r="F20" s="19">
        <v>2.15</v>
      </c>
      <c r="H20" s="1"/>
      <c r="I20" s="1"/>
    </row>
    <row r="21" spans="1:8" ht="18">
      <c r="A21" t="s">
        <v>348</v>
      </c>
      <c r="F21" s="19">
        <v>2.16</v>
      </c>
      <c r="H21" s="1"/>
    </row>
    <row r="22" ht="12.75">
      <c r="A22" t="s">
        <v>392</v>
      </c>
    </row>
    <row r="23" spans="1:6" ht="18">
      <c r="A23" s="22" t="s">
        <v>393</v>
      </c>
      <c r="B23" s="1"/>
      <c r="F23" s="19">
        <v>2.17</v>
      </c>
    </row>
    <row r="24" spans="1:6" ht="12.75">
      <c r="A24" t="s">
        <v>428</v>
      </c>
      <c r="F24" s="19">
        <v>2.18</v>
      </c>
    </row>
    <row r="25" spans="1:6" ht="12.75">
      <c r="A25" t="s">
        <v>479</v>
      </c>
      <c r="F25" s="19">
        <v>2.19</v>
      </c>
    </row>
    <row r="26" spans="1:6" ht="12.75">
      <c r="A26" t="s">
        <v>501</v>
      </c>
      <c r="F26" s="20">
        <v>2.2</v>
      </c>
    </row>
    <row r="27" spans="1:6" ht="12.75">
      <c r="A27" t="s">
        <v>534</v>
      </c>
      <c r="E27" s="2"/>
      <c r="F27" s="19">
        <v>2.21</v>
      </c>
    </row>
    <row r="28" spans="1:6" ht="12.75">
      <c r="A28" t="s">
        <v>650</v>
      </c>
      <c r="F28" s="19">
        <v>2.22</v>
      </c>
    </row>
    <row r="31" spans="1:7" ht="15">
      <c r="A31" s="18" t="s">
        <v>758</v>
      </c>
      <c r="B31" s="54" t="s">
        <v>759</v>
      </c>
      <c r="G31" s="16"/>
    </row>
    <row r="32" spans="1:7" ht="15">
      <c r="A32" s="53"/>
      <c r="B32" s="54" t="s">
        <v>760</v>
      </c>
      <c r="G32" s="2"/>
    </row>
    <row r="38" spans="1:2" ht="12.75">
      <c r="A38" s="13" t="s">
        <v>26</v>
      </c>
      <c r="B38" s="13" t="s">
        <v>2</v>
      </c>
    </row>
    <row r="40" ht="12.75">
      <c r="B40" s="46" t="s">
        <v>27</v>
      </c>
    </row>
    <row r="41" ht="12.75">
      <c r="B41" s="47" t="s">
        <v>28</v>
      </c>
    </row>
    <row r="43" spans="1:4" ht="12.75">
      <c r="A43" s="21" t="s">
        <v>12</v>
      </c>
      <c r="B43" s="7" t="s">
        <v>29</v>
      </c>
      <c r="D43">
        <v>12</v>
      </c>
    </row>
    <row r="44" ht="12.75">
      <c r="B44" s="5" t="s">
        <v>30</v>
      </c>
    </row>
    <row r="45" ht="12.75">
      <c r="D45" s="28">
        <f>(180/12)*(3.1416/180)</f>
        <v>0.26180000000000003</v>
      </c>
    </row>
    <row r="46" spans="2:4" ht="12.75">
      <c r="B46" t="s">
        <v>31</v>
      </c>
      <c r="D46" s="28">
        <f>D43/3</f>
        <v>4</v>
      </c>
    </row>
    <row r="47" spans="2:4" ht="12.75">
      <c r="B47" s="5" t="s">
        <v>32</v>
      </c>
      <c r="D47" s="28"/>
    </row>
    <row r="48" spans="4:6" ht="13.5" thickBot="1">
      <c r="D48" s="28">
        <f>SIN(D46*D45/2)/(D46*SIN(D45/2))</f>
        <v>0.9576620012559268</v>
      </c>
      <c r="F48" s="26" t="s">
        <v>14</v>
      </c>
    </row>
    <row r="49" spans="5:6" ht="13.5" thickBot="1">
      <c r="E49" s="25" t="s">
        <v>304</v>
      </c>
      <c r="F49" s="24"/>
    </row>
    <row r="50" ht="12.75"/>
    <row r="51" spans="1:2" ht="12.75">
      <c r="A51" s="27" t="s">
        <v>33</v>
      </c>
      <c r="B51" s="14" t="s">
        <v>3</v>
      </c>
    </row>
    <row r="52" ht="12.75">
      <c r="B52" s="47" t="s">
        <v>34</v>
      </c>
    </row>
    <row r="53" ht="12.75">
      <c r="B53" s="46" t="s">
        <v>480</v>
      </c>
    </row>
    <row r="54" ht="12.75">
      <c r="B54" s="47" t="s">
        <v>35</v>
      </c>
    </row>
    <row r="55" spans="2:9" ht="12.75">
      <c r="B55" s="4"/>
      <c r="C55" s="4"/>
      <c r="D55" s="4"/>
      <c r="E55" s="4"/>
      <c r="F55" s="4"/>
      <c r="G55" s="4"/>
      <c r="H55" s="4"/>
      <c r="I55" s="4"/>
    </row>
    <row r="56" spans="1:9" ht="12.75">
      <c r="A56" t="s">
        <v>12</v>
      </c>
      <c r="D56" s="4"/>
      <c r="E56" s="4"/>
      <c r="H56" s="4"/>
      <c r="I56" s="4"/>
    </row>
    <row r="57" spans="2:5" ht="12.75">
      <c r="B57" s="5" t="s">
        <v>36</v>
      </c>
      <c r="C57" s="5"/>
      <c r="D57" s="4">
        <f>0.041</f>
        <v>0.041</v>
      </c>
      <c r="E57" t="s">
        <v>37</v>
      </c>
    </row>
    <row r="58" spans="2:7" ht="12.75">
      <c r="B58" s="7" t="s">
        <v>38</v>
      </c>
      <c r="C58" s="4"/>
      <c r="D58" s="4"/>
      <c r="F58" s="4"/>
      <c r="G58" s="4"/>
    </row>
    <row r="59" spans="3:7" ht="12.75">
      <c r="C59" s="4"/>
      <c r="D59" s="4">
        <f>36*8/3</f>
        <v>96</v>
      </c>
      <c r="E59" s="4"/>
      <c r="F59" s="4"/>
      <c r="G59" s="4"/>
    </row>
    <row r="60" spans="2:7" ht="12.75">
      <c r="B60" s="7" t="s">
        <v>39</v>
      </c>
      <c r="D60">
        <v>1800</v>
      </c>
      <c r="G60" s="4"/>
    </row>
    <row r="61" spans="2:9" ht="12.75">
      <c r="B61" t="s">
        <v>40</v>
      </c>
      <c r="D61">
        <v>4</v>
      </c>
      <c r="H61" s="4"/>
      <c r="I61" s="4"/>
    </row>
    <row r="62" spans="2:9" ht="12.75">
      <c r="B62" s="3" t="s">
        <v>41</v>
      </c>
      <c r="D62">
        <f>D60*D61/120</f>
        <v>60</v>
      </c>
      <c r="H62" s="4"/>
      <c r="I62" s="4"/>
    </row>
    <row r="63" spans="2:9" ht="12.75">
      <c r="B63" t="s">
        <v>725</v>
      </c>
      <c r="D63">
        <v>9</v>
      </c>
      <c r="H63" s="4"/>
      <c r="I63" s="4"/>
    </row>
    <row r="64" ht="12.75"/>
    <row r="65" spans="2:4" ht="12.75">
      <c r="B65" s="4" t="s">
        <v>728</v>
      </c>
      <c r="D65" s="28">
        <f>(180/9)*(3.1416/180)</f>
        <v>0.3490666666666667</v>
      </c>
    </row>
    <row r="66" spans="2:4" ht="12.75">
      <c r="B66" t="s">
        <v>726</v>
      </c>
      <c r="D66" s="28">
        <f>D63/3</f>
        <v>3</v>
      </c>
    </row>
    <row r="67" ht="12.75">
      <c r="D67" s="28"/>
    </row>
    <row r="68" spans="2:4" ht="12.75">
      <c r="B68" t="s">
        <v>724</v>
      </c>
      <c r="D68" s="28">
        <f>SIN(D66*D65/2)/(D66*SIN(D65/2))</f>
        <v>0.9597948944037102</v>
      </c>
    </row>
    <row r="69" spans="2:7" ht="13.5" thickBot="1">
      <c r="B69" s="3" t="s">
        <v>727</v>
      </c>
      <c r="D69" s="28">
        <f>2.22*D62*D59*D57*D68</f>
        <v>503.1966602224841</v>
      </c>
      <c r="E69" t="s">
        <v>42</v>
      </c>
      <c r="G69" s="26" t="s">
        <v>14</v>
      </c>
    </row>
    <row r="70" spans="5:6" ht="13.5" thickBot="1">
      <c r="E70" s="25" t="s">
        <v>304</v>
      </c>
      <c r="F70" s="24"/>
    </row>
    <row r="71" spans="1:2" ht="12.75">
      <c r="A71" s="13" t="s">
        <v>43</v>
      </c>
      <c r="B71" s="13" t="s">
        <v>4</v>
      </c>
    </row>
    <row r="73" ht="12.75">
      <c r="B73" s="48" t="s">
        <v>44</v>
      </c>
    </row>
    <row r="74" ht="12.75">
      <c r="B74" s="46" t="s">
        <v>45</v>
      </c>
    </row>
    <row r="75" ht="12.75">
      <c r="B75" s="46" t="s">
        <v>46</v>
      </c>
    </row>
    <row r="76" ht="12.75">
      <c r="B76" s="47" t="s">
        <v>47</v>
      </c>
    </row>
    <row r="77" ht="12.75">
      <c r="B77" s="47" t="s">
        <v>48</v>
      </c>
    </row>
    <row r="79" spans="1:5" ht="12.75">
      <c r="A79" t="s">
        <v>12</v>
      </c>
      <c r="B79" s="7" t="s">
        <v>49</v>
      </c>
      <c r="D79" s="3" t="s">
        <v>50</v>
      </c>
      <c r="E79" t="s">
        <v>51</v>
      </c>
    </row>
    <row r="80" spans="2:4" ht="12.75">
      <c r="B80" t="s">
        <v>52</v>
      </c>
      <c r="D80">
        <v>300</v>
      </c>
    </row>
    <row r="81" ht="12.75">
      <c r="B81" s="7" t="s">
        <v>53</v>
      </c>
    </row>
    <row r="82" ht="12.75">
      <c r="D82">
        <f>120*D79/D80</f>
        <v>20</v>
      </c>
    </row>
    <row r="83" spans="2:4" ht="12.75">
      <c r="B83" s="3" t="s">
        <v>54</v>
      </c>
      <c r="D83">
        <f>360/20</f>
        <v>18</v>
      </c>
    </row>
    <row r="84" spans="1:2" ht="12.75">
      <c r="B84" s="5" t="s">
        <v>55</v>
      </c>
    </row>
    <row r="85" ht="12.75">
      <c r="D85" s="28">
        <f>(180/18)*(3.1416/180)</f>
        <v>0.17453333333333335</v>
      </c>
    </row>
    <row r="86" spans="2:4" ht="12.75">
      <c r="B86" t="s">
        <v>31</v>
      </c>
      <c r="D86" s="28">
        <f>D83/3</f>
        <v>6</v>
      </c>
    </row>
    <row r="87" spans="2:4" ht="12.75">
      <c r="B87" s="5" t="s">
        <v>56</v>
      </c>
      <c r="D87" s="28"/>
    </row>
    <row r="88" ht="12.75">
      <c r="D88" s="28">
        <f>SIN(D86*D85/2)/(D86*SIN(D85/2))</f>
        <v>0.9561425679899483</v>
      </c>
    </row>
    <row r="89" spans="2:4" ht="12.75">
      <c r="B89" s="7" t="s">
        <v>57</v>
      </c>
      <c r="D89" s="28"/>
    </row>
    <row r="90" spans="2:5" ht="12.75">
      <c r="B90" s="6" t="s">
        <v>58</v>
      </c>
      <c r="D90" s="28">
        <f>3.1416*(1-5/6)</f>
        <v>0.5235999999999998</v>
      </c>
      <c r="E90" t="s">
        <v>59</v>
      </c>
    </row>
    <row r="91" spans="2:4" ht="12.75">
      <c r="B91" t="s">
        <v>60</v>
      </c>
      <c r="D91" s="28">
        <f>COS(D90/2)</f>
        <v>0.9659256678396477</v>
      </c>
    </row>
    <row r="92" ht="12.75">
      <c r="D92" s="28"/>
    </row>
    <row r="93" spans="2:4" ht="12.75">
      <c r="B93" s="7" t="s">
        <v>61</v>
      </c>
      <c r="D93" s="28"/>
    </row>
    <row r="94" spans="2:4" ht="12.75">
      <c r="B94" s="7" t="s">
        <v>62</v>
      </c>
      <c r="D94" s="28"/>
    </row>
    <row r="95" spans="4:5" ht="12.75">
      <c r="D95" s="28">
        <f>11000/1.73205</f>
        <v>6350.8559221731475</v>
      </c>
      <c r="E95" t="s">
        <v>13</v>
      </c>
    </row>
    <row r="96" ht="12.75">
      <c r="B96" t="s">
        <v>63</v>
      </c>
    </row>
    <row r="97" ht="12.75">
      <c r="D97">
        <f>360*6/3</f>
        <v>720</v>
      </c>
    </row>
    <row r="98" ht="12.75">
      <c r="B98" s="5" t="s">
        <v>64</v>
      </c>
    </row>
    <row r="99" spans="4:6" ht="12.75">
      <c r="D99" s="28">
        <f>D95/(2.22*D79*D97*D88*D91)</f>
        <v>0.08604198569242164</v>
      </c>
      <c r="E99" t="s">
        <v>37</v>
      </c>
      <c r="F99" s="26" t="s">
        <v>14</v>
      </c>
    </row>
    <row r="100" spans="2:4" ht="12.75">
      <c r="B100" s="3" t="s">
        <v>65</v>
      </c>
      <c r="D100" s="28"/>
    </row>
    <row r="101" spans="4:6" ht="13.5" thickBot="1">
      <c r="D101" s="28">
        <f>10*1000000/(1.73205*11000)</f>
        <v>524.8641257994337</v>
      </c>
      <c r="E101" t="s">
        <v>66</v>
      </c>
      <c r="F101" s="26" t="s">
        <v>14</v>
      </c>
    </row>
    <row r="102" spans="4:6" ht="13.5" thickBot="1">
      <c r="D102" s="28"/>
      <c r="E102" s="25" t="s">
        <v>304</v>
      </c>
      <c r="F102" s="24"/>
    </row>
    <row r="103" spans="1:2" ht="12.75">
      <c r="A103" s="13" t="s">
        <v>67</v>
      </c>
      <c r="B103" s="16" t="s">
        <v>5</v>
      </c>
    </row>
    <row r="104" ht="12.75">
      <c r="B104" s="47" t="s">
        <v>68</v>
      </c>
    </row>
    <row r="105" ht="12.75">
      <c r="B105" s="46" t="s">
        <v>69</v>
      </c>
    </row>
    <row r="106" ht="12.75">
      <c r="B106" s="46" t="s">
        <v>70</v>
      </c>
    </row>
    <row r="107" ht="12.75">
      <c r="B107" s="48" t="s">
        <v>71</v>
      </c>
    </row>
    <row r="108" ht="12.75">
      <c r="B108" s="46" t="s">
        <v>72</v>
      </c>
    </row>
    <row r="109" spans="1:3" ht="12.75">
      <c r="A109" t="s">
        <v>12</v>
      </c>
      <c r="C109" t="s">
        <v>73</v>
      </c>
    </row>
    <row r="111" ht="12.75">
      <c r="F111" t="s">
        <v>74</v>
      </c>
    </row>
    <row r="112" ht="12.75">
      <c r="G112" t="s">
        <v>729</v>
      </c>
    </row>
    <row r="115" spans="5:6" ht="12.75">
      <c r="E115" s="2" t="s">
        <v>76</v>
      </c>
      <c r="F115" s="2" t="s">
        <v>17</v>
      </c>
    </row>
    <row r="116" ht="12.75"/>
    <row r="118" ht="12.75">
      <c r="B118" s="7" t="s">
        <v>77</v>
      </c>
    </row>
    <row r="119" spans="2:4" ht="12.75">
      <c r="B119" t="s">
        <v>78</v>
      </c>
      <c r="D119">
        <v>0.96</v>
      </c>
    </row>
    <row r="120" ht="12.75">
      <c r="B120" t="s">
        <v>63</v>
      </c>
    </row>
    <row r="121" ht="12.75">
      <c r="D121">
        <v>96</v>
      </c>
    </row>
    <row r="122" spans="2:5" ht="12.75">
      <c r="B122" s="5" t="s">
        <v>79</v>
      </c>
      <c r="D122">
        <v>0.1</v>
      </c>
      <c r="E122" t="s">
        <v>80</v>
      </c>
    </row>
    <row r="123" spans="2:5" ht="12.75">
      <c r="B123" t="s">
        <v>49</v>
      </c>
      <c r="D123">
        <v>50</v>
      </c>
      <c r="E123" t="s">
        <v>51</v>
      </c>
    </row>
    <row r="124" spans="2:5" ht="12.75">
      <c r="B124" s="7" t="s">
        <v>81</v>
      </c>
      <c r="D124">
        <f>2.22*D123*D121*D122*D119</f>
        <v>1022.9760000000001</v>
      </c>
      <c r="E124" t="s">
        <v>13</v>
      </c>
    </row>
    <row r="125" ht="12.75">
      <c r="B125" s="7" t="s">
        <v>82</v>
      </c>
    </row>
    <row r="126" spans="4:5" ht="12.75">
      <c r="D126">
        <v>5</v>
      </c>
      <c r="E126" t="s">
        <v>20</v>
      </c>
    </row>
    <row r="127" ht="12.75">
      <c r="B127" t="s">
        <v>83</v>
      </c>
    </row>
    <row r="128" ht="12.75">
      <c r="B128" s="7" t="s">
        <v>84</v>
      </c>
    </row>
    <row r="129" ht="12.75">
      <c r="B129" t="s">
        <v>85</v>
      </c>
    </row>
    <row r="130" spans="4:5" ht="12.75">
      <c r="D130" s="28">
        <f>D124/SQRT(1+(D126*D126/100))</f>
        <v>914.97755014033</v>
      </c>
      <c r="E130" t="s">
        <v>42</v>
      </c>
    </row>
    <row r="131" spans="2:6" ht="13.5" thickBot="1">
      <c r="B131" t="s">
        <v>86</v>
      </c>
      <c r="D131" s="28">
        <f>1.73205*D130</f>
        <v>1584.7868657205586</v>
      </c>
      <c r="E131" t="s">
        <v>13</v>
      </c>
      <c r="F131" s="26" t="s">
        <v>14</v>
      </c>
    </row>
    <row r="132" spans="4:6" ht="13.5" thickBot="1">
      <c r="D132" s="28"/>
      <c r="E132" s="25" t="s">
        <v>304</v>
      </c>
      <c r="F132" s="24"/>
    </row>
    <row r="133" spans="1:2" ht="12.75">
      <c r="A133" s="13" t="s">
        <v>87</v>
      </c>
      <c r="B133" s="13" t="s">
        <v>595</v>
      </c>
    </row>
    <row r="134" ht="12.75">
      <c r="B134" s="50" t="s">
        <v>88</v>
      </c>
    </row>
    <row r="135" ht="12.75">
      <c r="B135" s="50" t="s">
        <v>89</v>
      </c>
    </row>
    <row r="136" ht="12.75">
      <c r="B136" s="50" t="s">
        <v>90</v>
      </c>
    </row>
    <row r="137" ht="12.75">
      <c r="B137" s="50" t="s">
        <v>91</v>
      </c>
    </row>
    <row r="138" ht="12.75">
      <c r="B138" s="47" t="s">
        <v>92</v>
      </c>
    </row>
    <row r="139" ht="12.75">
      <c r="B139" s="46" t="s">
        <v>93</v>
      </c>
    </row>
    <row r="140" ht="12.75">
      <c r="B140" s="47" t="s">
        <v>94</v>
      </c>
    </row>
    <row r="141" ht="12.75">
      <c r="B141" s="46" t="s">
        <v>95</v>
      </c>
    </row>
    <row r="143" spans="1:2" ht="12.75">
      <c r="A143" t="s">
        <v>12</v>
      </c>
      <c r="B143" s="26" t="s">
        <v>96</v>
      </c>
    </row>
    <row r="144" spans="4:5" ht="12.75">
      <c r="D144" t="s">
        <v>97</v>
      </c>
      <c r="E144" t="s">
        <v>97</v>
      </c>
    </row>
    <row r="146" ht="12.75"/>
    <row r="147" spans="2:8" ht="12.75">
      <c r="B147" t="s">
        <v>98</v>
      </c>
      <c r="C147" t="s">
        <v>99</v>
      </c>
      <c r="D147" s="8" t="s">
        <v>17</v>
      </c>
      <c r="G147" s="7" t="s">
        <v>100</v>
      </c>
      <c r="H147" s="3" t="s">
        <v>101</v>
      </c>
    </row>
    <row r="150" ht="12.75">
      <c r="B150" s="26" t="s">
        <v>102</v>
      </c>
    </row>
    <row r="151" spans="2:6" ht="12.75">
      <c r="B151" s="4"/>
      <c r="F151" t="s">
        <v>24</v>
      </c>
    </row>
    <row r="152" spans="2:5" ht="12.75">
      <c r="B152" s="4"/>
      <c r="E152" s="2" t="s">
        <v>17</v>
      </c>
    </row>
    <row r="153" spans="4:5" ht="12.75">
      <c r="D153" s="8" t="s">
        <v>76</v>
      </c>
      <c r="E153" s="2"/>
    </row>
    <row r="155" ht="12.75">
      <c r="E155" s="2" t="s">
        <v>103</v>
      </c>
    </row>
    <row r="157" spans="2:6" ht="12.75">
      <c r="B157" s="13" t="s">
        <v>104</v>
      </c>
      <c r="D157" s="3" t="s">
        <v>105</v>
      </c>
      <c r="E157" s="3" t="s">
        <v>106</v>
      </c>
      <c r="F157" s="3" t="s">
        <v>107</v>
      </c>
    </row>
    <row r="159" ht="12.75">
      <c r="B159" s="3" t="s">
        <v>108</v>
      </c>
    </row>
    <row r="160" ht="12.75">
      <c r="D160" s="28">
        <f>(-3500+3500*COS(40*3.14/180))/60</f>
        <v>-13.634139606015902</v>
      </c>
    </row>
    <row r="161" spans="2:4" ht="12.75">
      <c r="B161" t="s">
        <v>109</v>
      </c>
      <c r="D161" s="28"/>
    </row>
    <row r="162" ht="12.75">
      <c r="D162" s="28">
        <f>3500*SIN(40*3.14/180)/60</f>
        <v>37.48012617248671</v>
      </c>
    </row>
    <row r="163" spans="2:4" ht="12.75">
      <c r="B163" t="s">
        <v>110</v>
      </c>
      <c r="D163" s="28"/>
    </row>
    <row r="164" spans="4:6" ht="12.75">
      <c r="D164" s="28">
        <f>SQRT(D160*D160+D162*D162)</f>
        <v>39.88294899705706</v>
      </c>
      <c r="E164" t="s">
        <v>25</v>
      </c>
      <c r="F164" s="26" t="s">
        <v>14</v>
      </c>
    </row>
    <row r="165" ht="12.75">
      <c r="D165" s="28"/>
    </row>
    <row r="166" spans="2:4" ht="12.75">
      <c r="B166" s="13" t="s">
        <v>111</v>
      </c>
      <c r="D166" s="28"/>
    </row>
    <row r="167" ht="12.75">
      <c r="D167" s="28"/>
    </row>
    <row r="168" spans="2:4" ht="12.75">
      <c r="B168" s="3" t="s">
        <v>112</v>
      </c>
      <c r="D168" s="28">
        <f>3500+30*D160</f>
        <v>3090.975811819523</v>
      </c>
    </row>
    <row r="169" spans="2:4" ht="12.75">
      <c r="B169" s="3" t="s">
        <v>113</v>
      </c>
      <c r="D169" s="28">
        <f>-30*D162</f>
        <v>-1124.4037851746014</v>
      </c>
    </row>
    <row r="171" ht="12.75">
      <c r="B171" t="s">
        <v>114</v>
      </c>
    </row>
    <row r="172" spans="4:6" ht="13.5" thickBot="1">
      <c r="D172" s="28">
        <f>SQRT(D168*D168+D169*D169)</f>
        <v>3289.1359566561446</v>
      </c>
      <c r="E172" t="s">
        <v>13</v>
      </c>
      <c r="F172" s="26" t="s">
        <v>14</v>
      </c>
    </row>
    <row r="173" spans="5:6" ht="13.5" thickBot="1">
      <c r="E173" s="25" t="s">
        <v>304</v>
      </c>
      <c r="F173" s="24"/>
    </row>
    <row r="174" spans="1:2" ht="12.75">
      <c r="A174" s="13" t="s">
        <v>115</v>
      </c>
      <c r="B174" s="13" t="s">
        <v>596</v>
      </c>
    </row>
    <row r="175" ht="12.75">
      <c r="B175" s="47" t="s">
        <v>116</v>
      </c>
    </row>
    <row r="176" ht="12.75">
      <c r="B176" s="47" t="s">
        <v>117</v>
      </c>
    </row>
    <row r="177" ht="12.75">
      <c r="B177" s="47" t="s">
        <v>118</v>
      </c>
    </row>
    <row r="178" ht="12.75">
      <c r="B178" s="48" t="s">
        <v>119</v>
      </c>
    </row>
    <row r="179" ht="12.75">
      <c r="B179" s="48" t="s">
        <v>120</v>
      </c>
    </row>
    <row r="180" ht="12.75">
      <c r="B180" s="46" t="s">
        <v>121</v>
      </c>
    </row>
    <row r="181" ht="12.75">
      <c r="B181" s="47" t="s">
        <v>122</v>
      </c>
    </row>
    <row r="183" spans="1:2" ht="12.75">
      <c r="A183" t="s">
        <v>123</v>
      </c>
      <c r="B183" t="s">
        <v>124</v>
      </c>
    </row>
    <row r="184" spans="2:6" ht="12.75">
      <c r="B184" s="7" t="s">
        <v>125</v>
      </c>
      <c r="D184" s="7" t="s">
        <v>126</v>
      </c>
      <c r="E184" t="s">
        <v>127</v>
      </c>
      <c r="F184" s="7" t="s">
        <v>730</v>
      </c>
    </row>
    <row r="185" spans="2:7" ht="12.75">
      <c r="B185">
        <v>0.95</v>
      </c>
      <c r="C185" t="s">
        <v>128</v>
      </c>
      <c r="D185" s="28">
        <f>-SIN(ACOS(B185))</f>
        <v>-0.31224989991992</v>
      </c>
      <c r="E185">
        <v>250</v>
      </c>
      <c r="G185" s="28">
        <f>E185*D185/B185</f>
        <v>-82.1710262947158</v>
      </c>
    </row>
    <row r="186" spans="2:7" ht="12.75">
      <c r="B186">
        <v>0.85</v>
      </c>
      <c r="C186" t="s">
        <v>128</v>
      </c>
      <c r="D186" s="28">
        <f>-SIN(ACOS(B186))</f>
        <v>-0.5267826876426369</v>
      </c>
      <c r="E186">
        <v>150</v>
      </c>
      <c r="G186" s="28">
        <f>E186*D186/B186</f>
        <v>-92.96165076046535</v>
      </c>
    </row>
    <row r="187" spans="1:7" ht="12.75">
      <c r="B187">
        <v>0.75</v>
      </c>
      <c r="C187" t="s">
        <v>128</v>
      </c>
      <c r="D187" s="28">
        <f>-SIN(ACOS(B187))</f>
        <v>-0.6614378277661476</v>
      </c>
      <c r="E187">
        <v>300</v>
      </c>
      <c r="G187" s="28">
        <f>E187*D187/B187</f>
        <v>-264.575131106459</v>
      </c>
    </row>
    <row r="188" spans="2:7" ht="12.75">
      <c r="B188">
        <v>0.85</v>
      </c>
      <c r="C188" t="s">
        <v>129</v>
      </c>
      <c r="D188" s="28">
        <f>SIN(ACOS(B188))</f>
        <v>0.5267826876426369</v>
      </c>
      <c r="E188">
        <v>100</v>
      </c>
      <c r="G188" s="28">
        <f>E188*D188/B188</f>
        <v>61.974433840310226</v>
      </c>
    </row>
    <row r="190" spans="3:7" ht="12.75">
      <c r="C190" t="s">
        <v>130</v>
      </c>
      <c r="D190">
        <f>SUM(E185:E188)</f>
        <v>800</v>
      </c>
      <c r="E190" t="s">
        <v>131</v>
      </c>
      <c r="G190">
        <f>SUM(G185:G188)</f>
        <v>-377.73337432132996</v>
      </c>
    </row>
    <row r="192" spans="2:7" ht="12.75">
      <c r="B192" s="21" t="s">
        <v>132</v>
      </c>
      <c r="C192" s="21"/>
      <c r="E192" s="51" t="s">
        <v>731</v>
      </c>
      <c r="G192" s="52" t="s">
        <v>133</v>
      </c>
    </row>
    <row r="193" spans="2:4" ht="12.75">
      <c r="B193" s="7" t="s">
        <v>125</v>
      </c>
      <c r="D193" s="7" t="s">
        <v>126</v>
      </c>
    </row>
    <row r="194" spans="2:7" ht="12.75">
      <c r="B194">
        <v>0.9</v>
      </c>
      <c r="C194" t="s">
        <v>128</v>
      </c>
      <c r="D194" s="28">
        <f>-SIN(ACOS(B194))</f>
        <v>-0.4358898943540673</v>
      </c>
      <c r="E194">
        <v>400</v>
      </c>
      <c r="G194">
        <f>E194*D194/B194</f>
        <v>-193.72884193514102</v>
      </c>
    </row>
    <row r="195" spans="4:5" ht="12.75">
      <c r="D195" s="28"/>
      <c r="E195" s="21" t="s">
        <v>732</v>
      </c>
    </row>
    <row r="196" spans="4:5" ht="12.75">
      <c r="D196" s="28"/>
      <c r="E196">
        <v>400</v>
      </c>
    </row>
    <row r="197" spans="4:5" ht="12.75">
      <c r="D197" s="28"/>
      <c r="E197" s="21" t="s">
        <v>733</v>
      </c>
    </row>
    <row r="198" spans="4:7" ht="12.75">
      <c r="D198" s="28"/>
      <c r="G198">
        <f>G190-G194</f>
        <v>-184.00453238618894</v>
      </c>
    </row>
    <row r="199" spans="4:7" ht="12.75">
      <c r="D199" s="28"/>
      <c r="E199" s="51" t="s">
        <v>134</v>
      </c>
      <c r="G199" s="28">
        <f>SQRT(E196*E196+G198*G198)</f>
        <v>440.29270711500556</v>
      </c>
    </row>
    <row r="200" spans="2:4" ht="12.75">
      <c r="B200" s="21" t="s">
        <v>734</v>
      </c>
      <c r="D200" s="28"/>
    </row>
    <row r="201" spans="4:6" ht="13.5" thickBot="1">
      <c r="D201" s="28">
        <f>E196/G199</f>
        <v>0.9084865443740339</v>
      </c>
      <c r="E201" t="s">
        <v>128</v>
      </c>
      <c r="F201" s="26" t="s">
        <v>14</v>
      </c>
    </row>
    <row r="202" spans="5:6" ht="13.5" thickBot="1">
      <c r="E202" s="25" t="s">
        <v>304</v>
      </c>
      <c r="F202" s="24"/>
    </row>
    <row r="203" spans="1:2" ht="12.75">
      <c r="A203" s="16" t="s">
        <v>135</v>
      </c>
      <c r="B203" s="13" t="s">
        <v>6</v>
      </c>
    </row>
    <row r="204" ht="12.75">
      <c r="B204" s="47" t="s">
        <v>136</v>
      </c>
    </row>
    <row r="205" ht="12.75">
      <c r="B205" s="46" t="s">
        <v>137</v>
      </c>
    </row>
    <row r="206" ht="12.75">
      <c r="B206" s="46" t="s">
        <v>138</v>
      </c>
    </row>
    <row r="207" ht="12.75">
      <c r="B207" s="47" t="s">
        <v>139</v>
      </c>
    </row>
    <row r="209" ht="12.75">
      <c r="A209" t="s">
        <v>12</v>
      </c>
    </row>
    <row r="211" ht="12.75">
      <c r="F211" s="3" t="s">
        <v>140</v>
      </c>
    </row>
    <row r="213" ht="12.75">
      <c r="D213" s="7" t="s">
        <v>141</v>
      </c>
    </row>
    <row r="214" spans="3:5" ht="12.75">
      <c r="C214" s="10" t="s">
        <v>142</v>
      </c>
      <c r="E214" s="2" t="s">
        <v>143</v>
      </c>
    </row>
    <row r="216" spans="1:5" ht="12.75">
      <c r="E216" s="3" t="s">
        <v>144</v>
      </c>
    </row>
    <row r="217" ht="12.75">
      <c r="C217" s="8" t="s">
        <v>145</v>
      </c>
    </row>
    <row r="221" ht="12.75">
      <c r="B221" s="3" t="s">
        <v>146</v>
      </c>
    </row>
    <row r="222" ht="12.75">
      <c r="D222">
        <v>0.6</v>
      </c>
    </row>
    <row r="223" spans="2:4" ht="12.75">
      <c r="B223" s="3" t="s">
        <v>147</v>
      </c>
      <c r="D223">
        <f>SIN(ACOS(D222))</f>
        <v>0.7999999999999999</v>
      </c>
    </row>
    <row r="224" spans="2:4" ht="12.75">
      <c r="B224" t="s">
        <v>148</v>
      </c>
      <c r="D224">
        <v>600</v>
      </c>
    </row>
    <row r="225" ht="12.75">
      <c r="B225" s="7" t="s">
        <v>149</v>
      </c>
    </row>
    <row r="226" spans="4:5" ht="12.75">
      <c r="D226" s="3">
        <f>D224*D222</f>
        <v>360</v>
      </c>
      <c r="E226" t="s">
        <v>150</v>
      </c>
    </row>
    <row r="227" ht="12.75">
      <c r="B227" s="7" t="s">
        <v>735</v>
      </c>
    </row>
    <row r="228" spans="4:5" ht="12.75">
      <c r="D228">
        <f>D224*D223</f>
        <v>479.99999999999994</v>
      </c>
      <c r="E228" t="s">
        <v>151</v>
      </c>
    </row>
    <row r="230" spans="2:5" ht="12.75">
      <c r="B230" s="7" t="s">
        <v>152</v>
      </c>
      <c r="D230">
        <v>200</v>
      </c>
      <c r="E230" t="s">
        <v>150</v>
      </c>
    </row>
    <row r="233" spans="2:5" ht="12.75">
      <c r="B233" s="7" t="s">
        <v>153</v>
      </c>
      <c r="D233">
        <v>0.9</v>
      </c>
      <c r="E233" t="s">
        <v>128</v>
      </c>
    </row>
    <row r="234" spans="2:4" ht="12.75">
      <c r="B234" t="s">
        <v>154</v>
      </c>
      <c r="D234" s="28">
        <f>TAN(ACOS(D233))</f>
        <v>0.48432210483785254</v>
      </c>
    </row>
    <row r="235" spans="2:4" ht="12.75">
      <c r="B235" s="7" t="s">
        <v>155</v>
      </c>
      <c r="D235" s="28"/>
    </row>
    <row r="236" ht="12.75">
      <c r="D236" s="28"/>
    </row>
    <row r="237" spans="2:5" ht="12.75">
      <c r="B237" t="s">
        <v>156</v>
      </c>
      <c r="D237" s="28">
        <f>D228-(D226+D230)*D234</f>
        <v>208.77962129080254</v>
      </c>
      <c r="E237" t="s">
        <v>151</v>
      </c>
    </row>
    <row r="238" ht="12.75">
      <c r="D238" s="28"/>
    </row>
    <row r="239" spans="2:4" ht="12.75">
      <c r="B239" s="7" t="s">
        <v>157</v>
      </c>
      <c r="D239" s="28"/>
    </row>
    <row r="240" spans="4:6" ht="12.75">
      <c r="D240" s="28">
        <f>SQRT(D230*D230+D237*D237)</f>
        <v>289.11750252506494</v>
      </c>
      <c r="E240" s="3" t="s">
        <v>158</v>
      </c>
      <c r="F240" s="26" t="s">
        <v>14</v>
      </c>
    </row>
    <row r="241" ht="12.75">
      <c r="D241" s="28"/>
    </row>
    <row r="242" spans="2:6" ht="13.5" thickBot="1">
      <c r="B242" t="s">
        <v>159</v>
      </c>
      <c r="D242" s="28">
        <f>D230/D240</f>
        <v>0.6917602644366405</v>
      </c>
      <c r="E242" t="s">
        <v>129</v>
      </c>
      <c r="F242" s="26" t="s">
        <v>14</v>
      </c>
    </row>
    <row r="243" spans="5:6" ht="13.5" thickBot="1">
      <c r="E243" s="25" t="s">
        <v>304</v>
      </c>
      <c r="F243" s="24"/>
    </row>
    <row r="244" spans="1:2" ht="12.75">
      <c r="A244" s="16" t="s">
        <v>160</v>
      </c>
      <c r="B244" s="14" t="s">
        <v>7</v>
      </c>
    </row>
    <row r="245" ht="12.75">
      <c r="B245" s="46" t="s">
        <v>161</v>
      </c>
    </row>
    <row r="246" ht="12.75">
      <c r="B246" s="46" t="s">
        <v>162</v>
      </c>
    </row>
    <row r="247" ht="12.75">
      <c r="B247" s="47" t="s">
        <v>163</v>
      </c>
    </row>
    <row r="249" ht="12.75">
      <c r="A249" t="s">
        <v>12</v>
      </c>
    </row>
    <row r="250" spans="2:4" ht="12.75">
      <c r="B250" t="s">
        <v>164</v>
      </c>
      <c r="D250">
        <v>6</v>
      </c>
    </row>
    <row r="251" spans="2:4" ht="12.75">
      <c r="B251" s="7" t="s">
        <v>49</v>
      </c>
      <c r="D251">
        <v>60</v>
      </c>
    </row>
    <row r="252" spans="2:4" ht="12.75">
      <c r="B252" s="3" t="s">
        <v>165</v>
      </c>
      <c r="D252">
        <f>120*D251/D250</f>
        <v>1200</v>
      </c>
    </row>
    <row r="253" spans="2:5" ht="12.75">
      <c r="B253" t="s">
        <v>166</v>
      </c>
      <c r="D253">
        <v>55.95</v>
      </c>
      <c r="E253" t="s">
        <v>150</v>
      </c>
    </row>
    <row r="254" spans="2:5" ht="12.75">
      <c r="B254" t="s">
        <v>167</v>
      </c>
      <c r="D254">
        <f>D253/3</f>
        <v>18.650000000000002</v>
      </c>
      <c r="E254" t="s">
        <v>150</v>
      </c>
    </row>
    <row r="255" ht="12.75">
      <c r="B255" t="s">
        <v>168</v>
      </c>
    </row>
    <row r="256" spans="4:5" ht="12.75">
      <c r="D256" s="28">
        <f>60*D253/(2*3.1416*D252)</f>
        <v>0.4452349121466768</v>
      </c>
      <c r="E256" t="s">
        <v>169</v>
      </c>
    </row>
    <row r="257" spans="1:2" ht="12.75">
      <c r="B257" s="7" t="s">
        <v>170</v>
      </c>
    </row>
    <row r="258" ht="12.75">
      <c r="B258" s="7" t="s">
        <v>171</v>
      </c>
    </row>
    <row r="259" ht="12.75">
      <c r="B259" s="3" t="s">
        <v>172</v>
      </c>
    </row>
    <row r="260" spans="4:5" ht="12.75">
      <c r="D260">
        <f>1.2*(D256/3)*2*3.1416*D252/60</f>
        <v>22.379999999999995</v>
      </c>
      <c r="E260" t="s">
        <v>150</v>
      </c>
    </row>
    <row r="261" ht="12.75">
      <c r="B261" t="s">
        <v>481</v>
      </c>
    </row>
    <row r="262" ht="12.75">
      <c r="B262" s="7" t="s">
        <v>482</v>
      </c>
    </row>
    <row r="263" ht="12.75">
      <c r="D263">
        <v>500</v>
      </c>
    </row>
    <row r="264" ht="12.75">
      <c r="B264" s="7" t="s">
        <v>483</v>
      </c>
    </row>
    <row r="265" ht="12.75">
      <c r="D265">
        <f>9.6</f>
        <v>9.6</v>
      </c>
    </row>
    <row r="266" ht="12.75">
      <c r="B266" t="s">
        <v>173</v>
      </c>
    </row>
    <row r="267" spans="4:6" ht="13.5" thickBot="1">
      <c r="D267">
        <f>D260*1000*D265/D263</f>
        <v>429.69599999999997</v>
      </c>
      <c r="E267" t="s">
        <v>13</v>
      </c>
      <c r="F267" s="26" t="s">
        <v>14</v>
      </c>
    </row>
    <row r="268" spans="5:6" ht="13.5" thickBot="1">
      <c r="E268" s="25" t="s">
        <v>304</v>
      </c>
      <c r="F268" s="24"/>
    </row>
    <row r="269" spans="1:2" ht="12.75">
      <c r="A269" s="16" t="s">
        <v>174</v>
      </c>
      <c r="B269" s="13" t="s">
        <v>8</v>
      </c>
    </row>
    <row r="270" ht="12.75">
      <c r="B270" s="48" t="s">
        <v>175</v>
      </c>
    </row>
    <row r="271" ht="12.75">
      <c r="B271" s="46" t="s">
        <v>176</v>
      </c>
    </row>
    <row r="272" ht="12.75">
      <c r="B272" s="48" t="s">
        <v>177</v>
      </c>
    </row>
    <row r="273" ht="12.75">
      <c r="B273" s="47" t="s">
        <v>178</v>
      </c>
    </row>
    <row r="274" ht="12.75">
      <c r="B274" s="46" t="s">
        <v>179</v>
      </c>
    </row>
    <row r="275" ht="12.75">
      <c r="B275" s="47" t="s">
        <v>180</v>
      </c>
    </row>
    <row r="277" spans="1:4" ht="12.75">
      <c r="A277" t="s">
        <v>181</v>
      </c>
      <c r="B277" t="s">
        <v>182</v>
      </c>
      <c r="D277">
        <v>60</v>
      </c>
    </row>
    <row r="278" spans="2:4" ht="12.75">
      <c r="B278" t="s">
        <v>183</v>
      </c>
      <c r="D278">
        <v>6</v>
      </c>
    </row>
    <row r="279" spans="2:5" ht="12.75">
      <c r="B279" t="s">
        <v>184</v>
      </c>
      <c r="D279">
        <f>120*D277/D278</f>
        <v>1200</v>
      </c>
      <c r="E279" t="s">
        <v>15</v>
      </c>
    </row>
    <row r="280" spans="2:5" ht="12.75">
      <c r="B280" s="7" t="s">
        <v>185</v>
      </c>
      <c r="D280">
        <v>74600</v>
      </c>
      <c r="E280" t="s">
        <v>16</v>
      </c>
    </row>
    <row r="281" ht="12.75">
      <c r="B281" s="7" t="s">
        <v>186</v>
      </c>
    </row>
    <row r="282" spans="1:5" ht="12.75">
      <c r="D282">
        <f>60*D280/2*3.1416*D279</f>
        <v>8437080960</v>
      </c>
      <c r="E282" t="s">
        <v>23</v>
      </c>
    </row>
    <row r="283" spans="2:5" ht="12.75">
      <c r="B283" t="s">
        <v>187</v>
      </c>
      <c r="D283">
        <f>D282/3</f>
        <v>2812360320</v>
      </c>
      <c r="E283" t="s">
        <v>23</v>
      </c>
    </row>
    <row r="284" ht="12.75">
      <c r="B284" t="s">
        <v>484</v>
      </c>
    </row>
    <row r="285" spans="4:5" ht="12.75">
      <c r="D285">
        <v>1000</v>
      </c>
      <c r="E285" t="s">
        <v>188</v>
      </c>
    </row>
    <row r="286" ht="12.75">
      <c r="B286" s="7" t="s">
        <v>485</v>
      </c>
    </row>
    <row r="287" spans="4:5" ht="12.75">
      <c r="D287">
        <v>10</v>
      </c>
      <c r="E287" t="s">
        <v>20</v>
      </c>
    </row>
    <row r="288" ht="12.75">
      <c r="B288" t="s">
        <v>189</v>
      </c>
    </row>
    <row r="289" spans="4:5" ht="12.75">
      <c r="D289" s="28">
        <f>1.3*D280/3</f>
        <v>32326.666666666668</v>
      </c>
      <c r="E289" t="s">
        <v>16</v>
      </c>
    </row>
    <row r="290" spans="2:4" ht="12.75">
      <c r="B290" t="s">
        <v>190</v>
      </c>
      <c r="D290" s="28" t="s">
        <v>191</v>
      </c>
    </row>
    <row r="291" spans="2:5" ht="12.75">
      <c r="B291" t="s">
        <v>192</v>
      </c>
      <c r="D291" s="28">
        <f>D287*D289/D285</f>
        <v>323.2666666666667</v>
      </c>
      <c r="E291" t="s">
        <v>13</v>
      </c>
    </row>
    <row r="292" ht="12.75">
      <c r="D292" s="28"/>
    </row>
    <row r="293" spans="2:5" ht="12.75">
      <c r="B293" t="s">
        <v>486</v>
      </c>
      <c r="D293" s="28">
        <f>D280/3</f>
        <v>24866.666666666668</v>
      </c>
      <c r="E293" t="s">
        <v>16</v>
      </c>
    </row>
    <row r="295" ht="12.75">
      <c r="B295" s="7" t="s">
        <v>193</v>
      </c>
    </row>
    <row r="297" ht="12.75">
      <c r="B297" s="5" t="s">
        <v>194</v>
      </c>
    </row>
    <row r="298" spans="4:5" ht="12.75">
      <c r="D298" s="28">
        <f>ASIN(D293/D289)</f>
        <v>0.877636419218143</v>
      </c>
      <c r="E298" t="s">
        <v>59</v>
      </c>
    </row>
    <row r="299" spans="4:5" ht="12.75">
      <c r="D299" s="28">
        <f>D298*180/3.1416</f>
        <v>50.28474518056587</v>
      </c>
      <c r="E299" t="s">
        <v>195</v>
      </c>
    </row>
    <row r="300" spans="2:4" ht="12.75">
      <c r="B300" t="s">
        <v>196</v>
      </c>
      <c r="C300" t="s">
        <v>191</v>
      </c>
      <c r="D300" s="28"/>
    </row>
    <row r="301" spans="2:6" ht="12.75">
      <c r="B301" s="14" t="s">
        <v>197</v>
      </c>
      <c r="D301" s="29" t="s">
        <v>198</v>
      </c>
      <c r="F301" s="3" t="s">
        <v>199</v>
      </c>
    </row>
    <row r="302" spans="2:4" ht="12.75">
      <c r="B302" s="7" t="s">
        <v>736</v>
      </c>
      <c r="D302" s="28">
        <f>D291*SIN(D298)/D287</f>
        <v>24.86666666666667</v>
      </c>
    </row>
    <row r="303" spans="2:4" ht="12.75">
      <c r="B303" t="s">
        <v>200</v>
      </c>
      <c r="D303" s="30" t="s">
        <v>201</v>
      </c>
    </row>
    <row r="304" ht="12.75">
      <c r="D304" s="30">
        <f>(-1000+D291*(D298))/D287</f>
        <v>-71.62894002140817</v>
      </c>
    </row>
    <row r="305" spans="2:6" ht="12.75">
      <c r="B305" t="s">
        <v>21</v>
      </c>
      <c r="D305" s="28">
        <f>SQRT(D302*D302+D304*D304)</f>
        <v>75.82253068647604</v>
      </c>
      <c r="E305" t="s">
        <v>25</v>
      </c>
      <c r="F305" s="26" t="s">
        <v>14</v>
      </c>
    </row>
    <row r="306" spans="2:6" ht="13.5" thickBot="1">
      <c r="B306" s="7" t="s">
        <v>202</v>
      </c>
      <c r="D306" s="28">
        <f>D302/D305</f>
        <v>0.3279588064593836</v>
      </c>
      <c r="E306" t="s">
        <v>128</v>
      </c>
      <c r="F306" s="26" t="s">
        <v>14</v>
      </c>
    </row>
    <row r="307" spans="5:6" ht="13.5" thickBot="1">
      <c r="E307" s="25" t="s">
        <v>304</v>
      </c>
      <c r="F307" s="24"/>
    </row>
    <row r="308" spans="1:2" ht="12.75">
      <c r="A308" s="16" t="s">
        <v>203</v>
      </c>
      <c r="B308" s="14" t="s">
        <v>9</v>
      </c>
    </row>
    <row r="309" ht="12.75">
      <c r="B309" s="48" t="s">
        <v>204</v>
      </c>
    </row>
    <row r="310" ht="12.75">
      <c r="B310" s="47" t="s">
        <v>205</v>
      </c>
    </row>
    <row r="311" ht="12.75">
      <c r="B311" s="46" t="s">
        <v>206</v>
      </c>
    </row>
    <row r="312" ht="12.75">
      <c r="B312" s="46" t="s">
        <v>207</v>
      </c>
    </row>
    <row r="313" ht="12.75">
      <c r="B313" s="47" t="s">
        <v>208</v>
      </c>
    </row>
    <row r="314" ht="12.75">
      <c r="B314" s="47" t="s">
        <v>209</v>
      </c>
    </row>
    <row r="315" ht="12.75">
      <c r="B315" s="47" t="s">
        <v>210</v>
      </c>
    </row>
    <row r="317" spans="1:6" ht="12.75">
      <c r="A317" t="s">
        <v>123</v>
      </c>
      <c r="D317" s="2" t="s">
        <v>76</v>
      </c>
      <c r="F317" s="2" t="s">
        <v>211</v>
      </c>
    </row>
    <row r="319" spans="2:7" ht="12.75">
      <c r="B319" s="8" t="s">
        <v>17</v>
      </c>
      <c r="E319" t="s">
        <v>212</v>
      </c>
      <c r="G319" s="8" t="s">
        <v>213</v>
      </c>
    </row>
    <row r="320" ht="12.75">
      <c r="A320" s="26" t="s">
        <v>737</v>
      </c>
    </row>
    <row r="321" spans="1:6" ht="12.75">
      <c r="F321" s="7" t="s">
        <v>214</v>
      </c>
    </row>
    <row r="324" ht="12.75">
      <c r="D324" s="26" t="s">
        <v>73</v>
      </c>
    </row>
    <row r="328" ht="12.75">
      <c r="E328" s="7" t="s">
        <v>214</v>
      </c>
    </row>
    <row r="329" ht="12.75">
      <c r="E329" s="2" t="s">
        <v>76</v>
      </c>
    </row>
    <row r="331" spans="4:6" ht="12.75">
      <c r="D331" s="9" t="s">
        <v>215</v>
      </c>
      <c r="E331" s="9" t="s">
        <v>216</v>
      </c>
      <c r="F331" s="2" t="s">
        <v>17</v>
      </c>
    </row>
    <row r="332" spans="3:5" ht="12.75">
      <c r="C332" s="11" t="s">
        <v>142</v>
      </c>
      <c r="E332" s="6" t="s">
        <v>217</v>
      </c>
    </row>
    <row r="333" spans="4:7" ht="12.75">
      <c r="D333" s="7" t="s">
        <v>211</v>
      </c>
      <c r="G333" s="8" t="s">
        <v>218</v>
      </c>
    </row>
    <row r="334" spans="2:4" ht="12.75">
      <c r="B334" s="3" t="s">
        <v>219</v>
      </c>
      <c r="D334" s="28">
        <v>0.707</v>
      </c>
    </row>
    <row r="335" spans="2:7" ht="12.75">
      <c r="B335" s="3" t="s">
        <v>220</v>
      </c>
      <c r="D335" s="28">
        <f>SIN(ACOS(D334))</f>
        <v>0.7072135462503529</v>
      </c>
      <c r="G335" s="2" t="s">
        <v>74</v>
      </c>
    </row>
    <row r="336" spans="2:5" ht="12.75">
      <c r="B336" t="s">
        <v>221</v>
      </c>
      <c r="D336" s="28">
        <v>50</v>
      </c>
      <c r="E336" t="s">
        <v>18</v>
      </c>
    </row>
    <row r="337" spans="2:5" ht="12.75">
      <c r="B337" t="s">
        <v>86</v>
      </c>
      <c r="D337" s="28">
        <v>220</v>
      </c>
      <c r="E337" t="s">
        <v>13</v>
      </c>
    </row>
    <row r="338" spans="2:5" ht="12.75">
      <c r="B338" t="s">
        <v>222</v>
      </c>
      <c r="D338" s="28">
        <f>D337/1.73205</f>
        <v>127.01711844346295</v>
      </c>
      <c r="E338" t="s">
        <v>13</v>
      </c>
    </row>
    <row r="339" spans="2:5" ht="12.75">
      <c r="B339" s="7" t="s">
        <v>223</v>
      </c>
      <c r="D339" s="28">
        <v>11000</v>
      </c>
      <c r="E339" t="s">
        <v>16</v>
      </c>
    </row>
    <row r="340" spans="2:5" ht="12.75">
      <c r="B340" t="s">
        <v>224</v>
      </c>
      <c r="D340" s="28">
        <v>1.27</v>
      </c>
      <c r="E340" s="12" t="s">
        <v>20</v>
      </c>
    </row>
    <row r="341" spans="2:4" ht="12.75">
      <c r="B341" s="5" t="s">
        <v>225</v>
      </c>
      <c r="D341" s="28">
        <v>30</v>
      </c>
    </row>
    <row r="342" spans="3:4" ht="12.75">
      <c r="C342" t="s">
        <v>226</v>
      </c>
      <c r="D342" s="28">
        <f>3.1416*D341/180</f>
        <v>0.5236000000000001</v>
      </c>
    </row>
    <row r="343" spans="2:4" ht="12.75">
      <c r="B343" s="7" t="s">
        <v>227</v>
      </c>
      <c r="D343" s="28" t="s">
        <v>191</v>
      </c>
    </row>
    <row r="344" spans="2:5" ht="12.75">
      <c r="B344" t="s">
        <v>228</v>
      </c>
      <c r="D344" s="28">
        <f>D339*D340/(D338*SIN(D342))</f>
        <v>219.96988350432358</v>
      </c>
      <c r="E344" t="s">
        <v>13</v>
      </c>
    </row>
    <row r="345" ht="12.75">
      <c r="E345" s="7" t="s">
        <v>631</v>
      </c>
    </row>
    <row r="346" spans="5:7" ht="12.75">
      <c r="E346" s="7" t="s">
        <v>632</v>
      </c>
      <c r="G346" t="s">
        <v>191</v>
      </c>
    </row>
    <row r="347" spans="2:6" ht="12.75">
      <c r="B347" s="3" t="s">
        <v>229</v>
      </c>
      <c r="F347" t="s">
        <v>230</v>
      </c>
    </row>
    <row r="348" spans="2:6" ht="12.75">
      <c r="B348" t="s">
        <v>231</v>
      </c>
      <c r="D348" s="28">
        <f>SQRT(D344*D344+D338*D338-2*D344*D338*COS(D342))/D340</f>
        <v>99.99297917556217</v>
      </c>
      <c r="E348" t="s">
        <v>25</v>
      </c>
      <c r="F348" s="26" t="s">
        <v>14</v>
      </c>
    </row>
    <row r="349" spans="1:6" ht="12.75">
      <c r="A349" s="7" t="s">
        <v>232</v>
      </c>
      <c r="D349" s="28">
        <f>D339/(D338*D348)</f>
        <v>0.8660858063639458</v>
      </c>
      <c r="E349" t="s">
        <v>129</v>
      </c>
      <c r="F349" s="26" t="s">
        <v>14</v>
      </c>
    </row>
    <row r="350" spans="2:6" ht="12.75">
      <c r="B350" t="s">
        <v>233</v>
      </c>
      <c r="D350" s="28">
        <f>SIN(ACOS(D349))</f>
        <v>0.49989536506644444</v>
      </c>
      <c r="F350" s="26"/>
    </row>
    <row r="351" spans="2:6" ht="12.75">
      <c r="B351" s="7" t="s">
        <v>234</v>
      </c>
      <c r="D351" s="31" t="s">
        <v>235</v>
      </c>
      <c r="F351" s="26"/>
    </row>
    <row r="352" spans="4:6" ht="12.75">
      <c r="D352" s="28">
        <f>1.73205*D337*D348*D350</f>
        <v>19047.225509235963</v>
      </c>
      <c r="E352" t="s">
        <v>236</v>
      </c>
      <c r="F352" s="26" t="s">
        <v>14</v>
      </c>
    </row>
    <row r="353" spans="2:5" ht="12.75">
      <c r="B353" t="s">
        <v>237</v>
      </c>
      <c r="D353" s="28"/>
      <c r="E353" t="s">
        <v>633</v>
      </c>
    </row>
    <row r="354" spans="2:4" ht="12.75">
      <c r="B354" t="s">
        <v>238</v>
      </c>
      <c r="D354" s="28">
        <f>(D348*D350-D336*D335)/(D348*D349+D336*D334)</f>
        <v>0.11992660680618583</v>
      </c>
    </row>
    <row r="355" spans="2:6" ht="12.75">
      <c r="B355" t="s">
        <v>239</v>
      </c>
      <c r="D355" s="28">
        <f>COS(ATAN(D354))</f>
        <v>0.9928854562787065</v>
      </c>
      <c r="E355" t="s">
        <v>129</v>
      </c>
      <c r="F355" s="26" t="s">
        <v>14</v>
      </c>
    </row>
    <row r="357" ht="13.5" thickBot="1"/>
    <row r="358" spans="5:6" ht="13.5" thickBot="1">
      <c r="E358" s="25" t="s">
        <v>304</v>
      </c>
      <c r="F358" s="24"/>
    </row>
    <row r="359" spans="1:2" ht="12.75">
      <c r="A359" s="16" t="s">
        <v>240</v>
      </c>
      <c r="B359" s="13" t="s">
        <v>10</v>
      </c>
    </row>
    <row r="360" ht="12.75">
      <c r="B360" s="48" t="s">
        <v>241</v>
      </c>
    </row>
    <row r="361" ht="12.75">
      <c r="B361" s="46" t="s">
        <v>242</v>
      </c>
    </row>
    <row r="362" ht="12.75">
      <c r="B362" s="47" t="s">
        <v>243</v>
      </c>
    </row>
    <row r="363" ht="12.75">
      <c r="B363" s="48" t="s">
        <v>244</v>
      </c>
    </row>
    <row r="364" ht="12.75">
      <c r="B364" s="46" t="s">
        <v>245</v>
      </c>
    </row>
    <row r="365" ht="12.75">
      <c r="B365" s="47" t="s">
        <v>720</v>
      </c>
    </row>
    <row r="366" ht="12.75">
      <c r="B366" s="47" t="s">
        <v>246</v>
      </c>
    </row>
    <row r="368" spans="1:4" ht="12.75">
      <c r="A368" t="s">
        <v>123</v>
      </c>
      <c r="B368" t="s">
        <v>247</v>
      </c>
      <c r="D368" s="28">
        <v>0.9</v>
      </c>
    </row>
    <row r="369" spans="2:5" ht="12.75">
      <c r="B369" t="s">
        <v>248</v>
      </c>
      <c r="D369" s="28">
        <v>74600</v>
      </c>
      <c r="E369" t="s">
        <v>16</v>
      </c>
    </row>
    <row r="370" spans="2:5" ht="12.75">
      <c r="B370" s="3" t="s">
        <v>249</v>
      </c>
      <c r="D370" s="28">
        <f>D369/D368</f>
        <v>82888.88888888889</v>
      </c>
      <c r="E370" t="s">
        <v>16</v>
      </c>
    </row>
    <row r="371" spans="2:5" ht="12.75">
      <c r="B371" t="s">
        <v>250</v>
      </c>
      <c r="D371" s="28">
        <v>400</v>
      </c>
      <c r="E371" t="s">
        <v>17</v>
      </c>
    </row>
    <row r="372" spans="1:5" ht="12.75">
      <c r="B372" t="s">
        <v>251</v>
      </c>
      <c r="D372" s="28">
        <f>D371/1.73205</f>
        <v>230.9402153517508</v>
      </c>
      <c r="E372" t="s">
        <v>17</v>
      </c>
    </row>
    <row r="373" spans="2:5" ht="12.75">
      <c r="B373" s="3" t="s">
        <v>252</v>
      </c>
      <c r="D373" s="28">
        <v>0.8</v>
      </c>
      <c r="E373" t="s">
        <v>129</v>
      </c>
    </row>
    <row r="374" spans="2:4" ht="12.75">
      <c r="B374" t="s">
        <v>126</v>
      </c>
      <c r="D374" s="28">
        <f>SIN(ACOS(D373))</f>
        <v>0.5999999999999999</v>
      </c>
    </row>
    <row r="375" spans="2:5" ht="12.75">
      <c r="B375" t="s">
        <v>253</v>
      </c>
      <c r="D375" s="28">
        <f>D370/(1.73205*D371*D373)</f>
        <v>149.5498269552136</v>
      </c>
      <c r="E375" t="s">
        <v>18</v>
      </c>
    </row>
    <row r="376" ht="12.75">
      <c r="B376" t="s">
        <v>73</v>
      </c>
    </row>
    <row r="380" spans="2:4" ht="12.75">
      <c r="B380" s="11" t="s">
        <v>215</v>
      </c>
      <c r="C380" s="6" t="s">
        <v>284</v>
      </c>
      <c r="D380" s="8" t="s">
        <v>76</v>
      </c>
    </row>
    <row r="383" ht="12.75">
      <c r="D383" s="11" t="s">
        <v>215</v>
      </c>
    </row>
    <row r="384" spans="4:7" ht="12.75">
      <c r="D384" s="9" t="s">
        <v>142</v>
      </c>
      <c r="G384" t="s">
        <v>17</v>
      </c>
    </row>
    <row r="385" spans="4:7" ht="12.75">
      <c r="D385" s="9" t="s">
        <v>217</v>
      </c>
      <c r="G385" s="2" t="s">
        <v>75</v>
      </c>
    </row>
    <row r="387" spans="6:7" ht="12.75">
      <c r="F387" s="2" t="s">
        <v>74</v>
      </c>
      <c r="G387" s="2" t="s">
        <v>254</v>
      </c>
    </row>
    <row r="389" spans="2:5" ht="12.75">
      <c r="B389" t="s">
        <v>255</v>
      </c>
      <c r="D389">
        <v>0.05</v>
      </c>
      <c r="E389" t="s">
        <v>19</v>
      </c>
    </row>
    <row r="390" spans="2:5" ht="12.75">
      <c r="B390" t="s">
        <v>256</v>
      </c>
      <c r="D390">
        <v>0.5</v>
      </c>
      <c r="E390" t="s">
        <v>19</v>
      </c>
    </row>
    <row r="391" ht="12.75">
      <c r="B391" s="3"/>
    </row>
    <row r="392" ht="12.75">
      <c r="B392" s="7" t="s">
        <v>738</v>
      </c>
    </row>
    <row r="393" ht="12.75">
      <c r="D393" s="28">
        <f>(D372*D374+D375*D390)/(D372*D373-D375*D389)</f>
        <v>1.2034377473708013</v>
      </c>
    </row>
    <row r="394" spans="2:6" ht="12.75">
      <c r="B394" s="4" t="s">
        <v>257</v>
      </c>
      <c r="D394" s="28">
        <f>(180/3.1416)*ATAN(D393)</f>
        <v>50.27489979978211</v>
      </c>
      <c r="F394" s="26" t="s">
        <v>14</v>
      </c>
    </row>
    <row r="395" ht="12.75">
      <c r="D395" s="28"/>
    </row>
    <row r="396" spans="2:4" ht="12.75">
      <c r="B396" s="15" t="s">
        <v>739</v>
      </c>
      <c r="D396" s="28"/>
    </row>
    <row r="397" ht="12.75">
      <c r="D397" s="28"/>
    </row>
    <row r="398" spans="2:4" ht="12.75">
      <c r="B398" s="7" t="s">
        <v>740</v>
      </c>
      <c r="D398" s="28"/>
    </row>
    <row r="399" ht="12.75">
      <c r="D399" s="28">
        <f>D372-D375*D389*D373+D375*D390*D374</f>
        <v>269.8231703601063</v>
      </c>
    </row>
    <row r="400" spans="2:4" ht="12.75">
      <c r="B400" s="7" t="s">
        <v>741</v>
      </c>
      <c r="D400" s="28">
        <f>-D375*D373*D390+D375*D389*D374</f>
        <v>-55.33343597342903</v>
      </c>
    </row>
    <row r="402" spans="2:6" ht="12.75">
      <c r="B402" t="s">
        <v>258</v>
      </c>
      <c r="D402" s="28">
        <f>SQRT(D399*D399+D400*D400)</f>
        <v>275.4384366783338</v>
      </c>
      <c r="E402" t="s">
        <v>13</v>
      </c>
      <c r="F402" s="26" t="s">
        <v>14</v>
      </c>
    </row>
    <row r="403" ht="12.75">
      <c r="D403" s="28"/>
    </row>
    <row r="404" spans="2:4" ht="12.75">
      <c r="B404" t="s">
        <v>259</v>
      </c>
      <c r="D404" s="28"/>
    </row>
    <row r="405" spans="4:5" ht="12.75">
      <c r="D405" s="28">
        <f>3*D375*D402*COS((3.14/180)*D394)</f>
        <v>79019.84803159782</v>
      </c>
      <c r="E405" t="s">
        <v>22</v>
      </c>
    </row>
    <row r="406" spans="2:4" ht="12.75">
      <c r="B406" s="7" t="s">
        <v>260</v>
      </c>
      <c r="D406" s="28"/>
    </row>
    <row r="407" spans="4:6" ht="12.75">
      <c r="D407" s="28">
        <f>D370-3*D375*D375*D389</f>
        <v>79534.11627753873</v>
      </c>
      <c r="E407" t="s">
        <v>22</v>
      </c>
      <c r="F407" s="26" t="s">
        <v>14</v>
      </c>
    </row>
    <row r="408" ht="13.5" thickBot="1"/>
    <row r="409" spans="5:6" ht="13.5" thickBot="1">
      <c r="E409" s="25" t="s">
        <v>304</v>
      </c>
      <c r="F409" s="24"/>
    </row>
    <row r="410" spans="1:2" ht="12.75">
      <c r="A410" s="16" t="s">
        <v>261</v>
      </c>
      <c r="B410" s="13" t="s">
        <v>11</v>
      </c>
    </row>
    <row r="411" ht="12.75">
      <c r="B411" s="46" t="s">
        <v>262</v>
      </c>
    </row>
    <row r="412" ht="12.75">
      <c r="B412" s="46" t="s">
        <v>263</v>
      </c>
    </row>
    <row r="413" ht="12.75">
      <c r="B413" s="46" t="s">
        <v>264</v>
      </c>
    </row>
    <row r="414" ht="12.75">
      <c r="B414" s="48" t="s">
        <v>265</v>
      </c>
    </row>
    <row r="415" ht="12.75">
      <c r="B415" s="47" t="s">
        <v>266</v>
      </c>
    </row>
    <row r="416" ht="12.75">
      <c r="B416" s="46" t="s">
        <v>267</v>
      </c>
    </row>
    <row r="418" spans="1:4" ht="12.75">
      <c r="A418" t="s">
        <v>12</v>
      </c>
      <c r="B418" t="s">
        <v>268</v>
      </c>
      <c r="D418">
        <v>1492</v>
      </c>
    </row>
    <row r="419" ht="12.75">
      <c r="B419" t="s">
        <v>269</v>
      </c>
    </row>
    <row r="420" ht="12.75">
      <c r="D420" s="28">
        <f>D418/3</f>
        <v>497.3333333333333</v>
      </c>
    </row>
    <row r="421" spans="2:4" ht="12.75">
      <c r="B421" s="7" t="s">
        <v>270</v>
      </c>
      <c r="D421" s="28"/>
    </row>
    <row r="422" spans="4:5" ht="12.75">
      <c r="D422" s="28">
        <f>2300/1.73205</f>
        <v>1327.9062382725672</v>
      </c>
      <c r="E422" t="s">
        <v>13</v>
      </c>
    </row>
    <row r="423" spans="1:5" ht="12.75">
      <c r="B423" t="s">
        <v>271</v>
      </c>
      <c r="D423" s="28">
        <f>(D420/D422)*1000</f>
        <v>374.52443478260864</v>
      </c>
      <c r="E423" t="s">
        <v>66</v>
      </c>
    </row>
    <row r="424" spans="2:4" ht="12.75">
      <c r="B424" t="s">
        <v>272</v>
      </c>
      <c r="D424" s="28"/>
    </row>
    <row r="425" spans="4:5" ht="12.75">
      <c r="D425" s="28">
        <f>1.95</f>
        <v>1.95</v>
      </c>
      <c r="E425" t="s">
        <v>20</v>
      </c>
    </row>
    <row r="427" ht="12.75">
      <c r="B427" s="26" t="s">
        <v>102</v>
      </c>
    </row>
    <row r="428" spans="4:6" ht="12.75">
      <c r="D428" s="2" t="s">
        <v>76</v>
      </c>
      <c r="F428" t="s">
        <v>17</v>
      </c>
    </row>
    <row r="430" ht="12.75">
      <c r="F430" s="2" t="s">
        <v>273</v>
      </c>
    </row>
    <row r="431" ht="12.75">
      <c r="E431" s="2" t="s">
        <v>74</v>
      </c>
    </row>
    <row r="433" ht="12.75">
      <c r="B433" t="s">
        <v>274</v>
      </c>
    </row>
    <row r="434" spans="4:5" ht="12.75">
      <c r="D434" s="28">
        <f>SQRT(D422*D422+D423*D423*D425*D425)</f>
        <v>1515.488748744413</v>
      </c>
      <c r="E434" t="s">
        <v>13</v>
      </c>
    </row>
    <row r="435" ht="12.75">
      <c r="D435" s="28"/>
    </row>
    <row r="436" spans="2:5" ht="12.75">
      <c r="B436" t="s">
        <v>275</v>
      </c>
      <c r="D436" s="28">
        <f>(D434*D422/D425)/1000</f>
        <v>1032.0138274305607</v>
      </c>
      <c r="E436" s="3" t="s">
        <v>276</v>
      </c>
    </row>
    <row r="437" spans="2:4" ht="12.75">
      <c r="B437" t="s">
        <v>277</v>
      </c>
      <c r="D437" s="28">
        <v>30</v>
      </c>
    </row>
    <row r="438" spans="2:5" ht="12.75">
      <c r="B438" t="s">
        <v>182</v>
      </c>
      <c r="D438" s="28">
        <v>50</v>
      </c>
      <c r="E438" t="s">
        <v>51</v>
      </c>
    </row>
    <row r="439" spans="2:4" ht="12.75">
      <c r="B439" t="s">
        <v>278</v>
      </c>
      <c r="D439" s="28">
        <f>120*D438/D437</f>
        <v>200</v>
      </c>
    </row>
    <row r="440" ht="12.75">
      <c r="D440" s="28"/>
    </row>
    <row r="441" spans="2:4" ht="12.75">
      <c r="B441" t="s">
        <v>279</v>
      </c>
      <c r="D441" s="28"/>
    </row>
    <row r="442" spans="4:5" ht="12.75">
      <c r="D442" s="28">
        <f>60*D436/(2*3.1416*D439)</f>
        <v>49.274915366241444</v>
      </c>
      <c r="E442" t="s">
        <v>280</v>
      </c>
    </row>
    <row r="443" spans="2:7" ht="13.5" thickBot="1">
      <c r="B443" t="s">
        <v>281</v>
      </c>
      <c r="D443" s="28">
        <f>3*D442</f>
        <v>147.82474609872435</v>
      </c>
      <c r="E443" t="s">
        <v>282</v>
      </c>
      <c r="F443" s="26" t="s">
        <v>14</v>
      </c>
      <c r="G443" s="18"/>
    </row>
    <row r="444" spans="5:6" ht="13.5" thickBot="1">
      <c r="E444" s="25" t="s">
        <v>304</v>
      </c>
      <c r="F444" s="24"/>
    </row>
    <row r="445" spans="1:2" ht="12.75">
      <c r="A445" s="16"/>
      <c r="B445" s="13"/>
    </row>
    <row r="446" spans="1:2" ht="12.75">
      <c r="A446" s="21" t="s">
        <v>283</v>
      </c>
      <c r="B446" s="21" t="s">
        <v>598</v>
      </c>
    </row>
    <row r="447" ht="12.75">
      <c r="B447" s="46" t="s">
        <v>619</v>
      </c>
    </row>
    <row r="448" ht="12.75">
      <c r="B448" s="46" t="s">
        <v>601</v>
      </c>
    </row>
    <row r="449" ht="12.75">
      <c r="B449" s="46" t="s">
        <v>599</v>
      </c>
    </row>
    <row r="450" ht="12.75">
      <c r="B450" s="46" t="s">
        <v>600</v>
      </c>
    </row>
    <row r="452" spans="1:6" ht="12.75">
      <c r="A452" s="21" t="s">
        <v>12</v>
      </c>
      <c r="B452" t="s">
        <v>472</v>
      </c>
      <c r="E452">
        <v>11</v>
      </c>
      <c r="F452" t="s">
        <v>604</v>
      </c>
    </row>
    <row r="453" spans="2:6" ht="12.75">
      <c r="B453" t="s">
        <v>437</v>
      </c>
      <c r="E453">
        <v>0.8</v>
      </c>
      <c r="F453" t="s">
        <v>128</v>
      </c>
    </row>
    <row r="454" spans="2:5" ht="12.75">
      <c r="B454" t="s">
        <v>603</v>
      </c>
      <c r="E454">
        <v>60</v>
      </c>
    </row>
    <row r="455" spans="1:5" ht="12.75">
      <c r="B455" t="s">
        <v>602</v>
      </c>
      <c r="E455">
        <f>E454/E453</f>
        <v>75</v>
      </c>
    </row>
    <row r="456" spans="2:6" ht="12.75">
      <c r="B456" t="s">
        <v>605</v>
      </c>
      <c r="C456" s="23" t="s">
        <v>628</v>
      </c>
      <c r="E456" s="35">
        <f>452:452*452:452/455:455</f>
        <v>1.6133333333333333</v>
      </c>
      <c r="F456" t="s">
        <v>20</v>
      </c>
    </row>
    <row r="457" spans="2:6" ht="12.75">
      <c r="B457" t="s">
        <v>606</v>
      </c>
      <c r="E457">
        <v>2</v>
      </c>
      <c r="F457" t="s">
        <v>388</v>
      </c>
    </row>
    <row r="458" spans="2:6" ht="12.75">
      <c r="B458" t="s">
        <v>298</v>
      </c>
      <c r="C458" s="23" t="s">
        <v>629</v>
      </c>
      <c r="E458" s="23">
        <f>457:457*456:456</f>
        <v>3.2266666666666666</v>
      </c>
      <c r="F458" t="s">
        <v>607</v>
      </c>
    </row>
    <row r="459" spans="2:6" ht="12.75">
      <c r="B459" t="s">
        <v>608</v>
      </c>
      <c r="E459">
        <f>11/1.73205</f>
        <v>6.350855922173147</v>
      </c>
      <c r="F459" t="s">
        <v>604</v>
      </c>
    </row>
    <row r="460" spans="2:6" ht="12.75">
      <c r="B460" t="s">
        <v>76</v>
      </c>
      <c r="C460" t="s">
        <v>630</v>
      </c>
      <c r="E460" s="35">
        <f>459:459/458:458</f>
        <v>1.968240471747876</v>
      </c>
      <c r="F460" t="s">
        <v>609</v>
      </c>
    </row>
    <row r="461" spans="2:6" ht="12.75">
      <c r="B461" t="s">
        <v>620</v>
      </c>
      <c r="E461">
        <f>E459*E459/E458</f>
        <v>12.500011656260869</v>
      </c>
      <c r="F461" t="s">
        <v>610</v>
      </c>
    </row>
    <row r="462" spans="5:7" ht="12.75">
      <c r="E462">
        <f>3*E461</f>
        <v>37.50003496878261</v>
      </c>
      <c r="F462" t="s">
        <v>610</v>
      </c>
      <c r="G462" t="s">
        <v>611</v>
      </c>
    </row>
    <row r="464" spans="4:5" ht="12.75">
      <c r="D464" s="2" t="s">
        <v>18</v>
      </c>
      <c r="E464" s="8" t="s">
        <v>613</v>
      </c>
    </row>
    <row r="466" ht="12.75">
      <c r="H466" s="8" t="s">
        <v>614</v>
      </c>
    </row>
    <row r="467" ht="12.75">
      <c r="F467" t="s">
        <v>508</v>
      </c>
    </row>
    <row r="469" ht="12.75">
      <c r="B469" t="s">
        <v>612</v>
      </c>
    </row>
    <row r="475" spans="2:5" ht="12.75">
      <c r="B475" s="23" t="s">
        <v>616</v>
      </c>
      <c r="C475" s="2" t="s">
        <v>338</v>
      </c>
      <c r="E475" s="8">
        <v>0</v>
      </c>
    </row>
    <row r="476" ht="12.75">
      <c r="D476" s="8" t="s">
        <v>617</v>
      </c>
    </row>
    <row r="477" ht="12.75">
      <c r="G477" s="7" t="s">
        <v>615</v>
      </c>
    </row>
    <row r="479" ht="12.75">
      <c r="B479" t="s">
        <v>618</v>
      </c>
    </row>
    <row r="480" ht="13.5" thickBot="1"/>
    <row r="481" spans="5:6" ht="13.5" thickBot="1">
      <c r="E481" s="25" t="s">
        <v>304</v>
      </c>
      <c r="F481" s="24"/>
    </row>
    <row r="483" spans="1:2" ht="12.75">
      <c r="A483" s="21" t="s">
        <v>287</v>
      </c>
      <c r="B483" s="21" t="s">
        <v>288</v>
      </c>
    </row>
    <row r="484" ht="12.75">
      <c r="B484" s="47" t="s">
        <v>289</v>
      </c>
    </row>
    <row r="485" ht="12.75">
      <c r="B485" s="47" t="s">
        <v>621</v>
      </c>
    </row>
    <row r="486" ht="12.75">
      <c r="B486" s="47" t="s">
        <v>290</v>
      </c>
    </row>
    <row r="487" ht="12.75">
      <c r="B487" s="47"/>
    </row>
    <row r="488" spans="1:5" ht="12.75">
      <c r="A488" t="s">
        <v>12</v>
      </c>
      <c r="B488" t="s">
        <v>17</v>
      </c>
      <c r="C488" t="s">
        <v>300</v>
      </c>
      <c r="D488" s="28">
        <f>400/1.73205</f>
        <v>230.9402153517508</v>
      </c>
      <c r="E488" t="s">
        <v>17</v>
      </c>
    </row>
    <row r="489" spans="2:5" ht="12.75">
      <c r="B489" t="s">
        <v>76</v>
      </c>
      <c r="D489" s="28">
        <v>72.5</v>
      </c>
      <c r="E489" t="s">
        <v>18</v>
      </c>
    </row>
    <row r="490" spans="2:5" ht="12.75">
      <c r="B490" t="s">
        <v>531</v>
      </c>
      <c r="C490" s="23" t="s">
        <v>296</v>
      </c>
      <c r="D490" s="28">
        <v>0.8</v>
      </c>
      <c r="E490" t="s">
        <v>128</v>
      </c>
    </row>
    <row r="491" spans="2:4" ht="12.75">
      <c r="B491" t="s">
        <v>291</v>
      </c>
      <c r="D491" s="28"/>
    </row>
    <row r="492" spans="4:5" ht="12.75">
      <c r="D492" s="28">
        <f>3*D488*D489*D490/1000</f>
        <v>40.18359747120464</v>
      </c>
      <c r="E492" t="s">
        <v>150</v>
      </c>
    </row>
    <row r="493" ht="12.75">
      <c r="B493" s="21" t="s">
        <v>292</v>
      </c>
    </row>
    <row r="494" spans="2:5" ht="12.75">
      <c r="B494" t="s">
        <v>297</v>
      </c>
      <c r="D494">
        <v>0.2</v>
      </c>
      <c r="E494" t="s">
        <v>303</v>
      </c>
    </row>
    <row r="495" spans="2:5" ht="12.75">
      <c r="B495" t="s">
        <v>298</v>
      </c>
      <c r="D495">
        <v>3</v>
      </c>
      <c r="E495" t="s">
        <v>303</v>
      </c>
    </row>
    <row r="497" ht="12.75">
      <c r="D497" s="2" t="s">
        <v>76</v>
      </c>
    </row>
    <row r="500" spans="4:6" ht="12.75">
      <c r="D500" s="9" t="s">
        <v>142</v>
      </c>
      <c r="F500" t="s">
        <v>17</v>
      </c>
    </row>
    <row r="501" spans="4:6" ht="12.75">
      <c r="D501" s="9" t="s">
        <v>217</v>
      </c>
      <c r="F501" s="7" t="s">
        <v>254</v>
      </c>
    </row>
    <row r="503" spans="2:6" ht="12.75">
      <c r="B503" t="s">
        <v>746</v>
      </c>
      <c r="C503" s="23" t="s">
        <v>299</v>
      </c>
      <c r="D503">
        <f>SIN(ACOS(490:490))</f>
        <v>0.5999999999999999</v>
      </c>
      <c r="F503" s="2" t="s">
        <v>75</v>
      </c>
    </row>
    <row r="504" ht="12.75">
      <c r="B504" s="21" t="s">
        <v>622</v>
      </c>
    </row>
    <row r="505" spans="2:6" ht="12.75">
      <c r="B505" s="21" t="s">
        <v>623</v>
      </c>
      <c r="F505" s="2" t="s">
        <v>74</v>
      </c>
    </row>
    <row r="506" ht="12.75">
      <c r="B506" s="21" t="s">
        <v>624</v>
      </c>
    </row>
    <row r="507" ht="12.75">
      <c r="B507" s="21" t="s">
        <v>742</v>
      </c>
    </row>
    <row r="508" spans="1:4" ht="12.75">
      <c r="A508" t="s">
        <v>743</v>
      </c>
      <c r="D508" s="32">
        <f>D488-D489*D494*D490+D489*D495*D503</f>
        <v>349.84021535175077</v>
      </c>
    </row>
    <row r="509" spans="1:4" ht="12.75">
      <c r="A509" t="s">
        <v>744</v>
      </c>
      <c r="D509" s="32">
        <f>-D489*D495*D490-D489*D494*D503</f>
        <v>-182.7</v>
      </c>
    </row>
    <row r="510" spans="2:4" ht="12.75">
      <c r="B510" t="s">
        <v>258</v>
      </c>
      <c r="D510" s="28">
        <f>SQRT(D508*D508+D509*D509)</f>
        <v>394.67387331486657</v>
      </c>
    </row>
    <row r="511" spans="2:6" ht="12.75">
      <c r="B511" t="s">
        <v>301</v>
      </c>
      <c r="D511" s="28">
        <f>1.73205*D510</f>
        <v>683.5948822750147</v>
      </c>
      <c r="E511" t="s">
        <v>17</v>
      </c>
      <c r="F511" s="26" t="s">
        <v>14</v>
      </c>
    </row>
    <row r="513" ht="12.75">
      <c r="B513" s="21" t="s">
        <v>302</v>
      </c>
    </row>
    <row r="515" ht="12.75">
      <c r="F515" s="7" t="s">
        <v>254</v>
      </c>
    </row>
    <row r="517" spans="4:6" ht="12.75">
      <c r="D517" s="9" t="s">
        <v>142</v>
      </c>
      <c r="F517" t="s">
        <v>17</v>
      </c>
    </row>
    <row r="518" ht="12.75">
      <c r="D518" s="5" t="s">
        <v>217</v>
      </c>
    </row>
    <row r="519" ht="12.75">
      <c r="E519" s="7" t="s">
        <v>76</v>
      </c>
    </row>
    <row r="521" spans="4:6" ht="12.75">
      <c r="D521" s="7" t="s">
        <v>745</v>
      </c>
      <c r="F521" s="2"/>
    </row>
    <row r="525" spans="2:4" ht="12.75">
      <c r="B525" t="s">
        <v>746</v>
      </c>
      <c r="C525" s="23" t="s">
        <v>299</v>
      </c>
      <c r="D525">
        <f>SIN(ACOS(490:490))</f>
        <v>0.5999999999999999</v>
      </c>
    </row>
    <row r="526" spans="1:2" ht="12.75">
      <c r="B526" s="21" t="s">
        <v>634</v>
      </c>
    </row>
    <row r="527" ht="12.75">
      <c r="B527" s="21" t="s">
        <v>623</v>
      </c>
    </row>
    <row r="528" ht="12.75">
      <c r="B528" s="21" t="s">
        <v>624</v>
      </c>
    </row>
    <row r="529" ht="12.75">
      <c r="B529" s="21" t="s">
        <v>635</v>
      </c>
    </row>
    <row r="530" spans="1:4" ht="12.75">
      <c r="A530" t="s">
        <v>636</v>
      </c>
      <c r="D530" s="32">
        <f>D488-D489*D494*D490-D489*D495*D503</f>
        <v>88.84021535175083</v>
      </c>
    </row>
    <row r="531" spans="1:4" ht="12.75">
      <c r="A531" t="s">
        <v>637</v>
      </c>
      <c r="D531" s="32">
        <f>-D489*D495*D490+D489*D494*D503</f>
        <v>-165.3</v>
      </c>
    </row>
    <row r="532" spans="2:4" ht="12.75">
      <c r="B532" t="s">
        <v>258</v>
      </c>
      <c r="D532" s="28">
        <f>SQRT(D530*D530+D531*D531)</f>
        <v>187.66106112815592</v>
      </c>
    </row>
    <row r="533" spans="2:6" ht="13.5" thickBot="1">
      <c r="B533" t="s">
        <v>301</v>
      </c>
      <c r="D533" s="28">
        <f>1.73205*D532</f>
        <v>325.0383409270225</v>
      </c>
      <c r="E533" t="s">
        <v>17</v>
      </c>
      <c r="F533" s="26" t="s">
        <v>14</v>
      </c>
    </row>
    <row r="534" spans="5:6" ht="13.5" thickBot="1">
      <c r="E534" s="25" t="s">
        <v>304</v>
      </c>
      <c r="F534" s="24"/>
    </row>
    <row r="535" spans="1:2" ht="12.75">
      <c r="A535" s="21" t="s">
        <v>306</v>
      </c>
      <c r="B535" s="21" t="s">
        <v>305</v>
      </c>
    </row>
    <row r="536" ht="12.75">
      <c r="B536" s="47" t="s">
        <v>310</v>
      </c>
    </row>
    <row r="537" ht="12.75">
      <c r="B537" s="47" t="s">
        <v>625</v>
      </c>
    </row>
    <row r="538" ht="12.75">
      <c r="B538" s="47" t="s">
        <v>307</v>
      </c>
    </row>
    <row r="539" ht="12.75">
      <c r="B539" s="47" t="s">
        <v>308</v>
      </c>
    </row>
    <row r="540" ht="12.75">
      <c r="B540" s="47" t="s">
        <v>309</v>
      </c>
    </row>
    <row r="542" spans="1:5" ht="12.75">
      <c r="A542" t="s">
        <v>12</v>
      </c>
      <c r="B542" t="s">
        <v>311</v>
      </c>
      <c r="D542">
        <v>2200</v>
      </c>
      <c r="E542" t="s">
        <v>17</v>
      </c>
    </row>
    <row r="543" spans="2:5" ht="12.75">
      <c r="B543" t="s">
        <v>17</v>
      </c>
      <c r="C543" t="s">
        <v>300</v>
      </c>
      <c r="D543" s="28">
        <f>2200/1.73205</f>
        <v>1270.1711844346294</v>
      </c>
      <c r="E543" t="s">
        <v>17</v>
      </c>
    </row>
    <row r="544" spans="2:5" ht="12.75">
      <c r="B544" t="s">
        <v>158</v>
      </c>
      <c r="C544" t="s">
        <v>300</v>
      </c>
      <c r="D544" s="28">
        <f>1492/3</f>
        <v>497.3333333333333</v>
      </c>
      <c r="E544" t="s">
        <v>158</v>
      </c>
    </row>
    <row r="545" spans="2:4" ht="12.75">
      <c r="B545" t="s">
        <v>76</v>
      </c>
      <c r="C545" t="s">
        <v>312</v>
      </c>
      <c r="D545" s="32" t="s">
        <v>313</v>
      </c>
    </row>
    <row r="546" spans="2:5" ht="12.75">
      <c r="B546" t="s">
        <v>76</v>
      </c>
      <c r="D546" s="32">
        <f>(544:544/543:543)*1000</f>
        <v>391.5482727272728</v>
      </c>
      <c r="E546" t="s">
        <v>18</v>
      </c>
    </row>
    <row r="547" ht="12.75">
      <c r="B547" s="21" t="s">
        <v>314</v>
      </c>
    </row>
    <row r="548" spans="2:5" ht="12.75">
      <c r="B548" t="s">
        <v>327</v>
      </c>
      <c r="D548">
        <v>2</v>
      </c>
      <c r="E548" t="s">
        <v>20</v>
      </c>
    </row>
    <row r="549" spans="2:5" ht="12.75">
      <c r="B549" t="s">
        <v>328</v>
      </c>
      <c r="D549">
        <v>1</v>
      </c>
      <c r="E549" t="s">
        <v>19</v>
      </c>
    </row>
    <row r="552" ht="12.75">
      <c r="C552" s="8" t="s">
        <v>315</v>
      </c>
    </row>
    <row r="553" spans="5:6" ht="12.75">
      <c r="E553" s="8" t="s">
        <v>76</v>
      </c>
      <c r="F553" s="8" t="s">
        <v>17</v>
      </c>
    </row>
    <row r="554" ht="12.75">
      <c r="E554" t="s">
        <v>321</v>
      </c>
    </row>
    <row r="555" spans="5:7" ht="12.75">
      <c r="E555" s="8" t="s">
        <v>316</v>
      </c>
      <c r="G555" t="s">
        <v>317</v>
      </c>
    </row>
    <row r="556" ht="12.75">
      <c r="G556" t="s">
        <v>320</v>
      </c>
    </row>
    <row r="557" spans="6:7" ht="12.75">
      <c r="F557" s="2" t="s">
        <v>318</v>
      </c>
      <c r="G557" s="2" t="s">
        <v>319</v>
      </c>
    </row>
    <row r="558" ht="12.75">
      <c r="B558" t="s">
        <v>322</v>
      </c>
    </row>
    <row r="559" spans="2:4" ht="12.75">
      <c r="B559" t="s">
        <v>323</v>
      </c>
      <c r="D559" s="23" t="s">
        <v>324</v>
      </c>
    </row>
    <row r="560" spans="4:5" ht="12.75">
      <c r="D560" s="32">
        <f>543:543</f>
        <v>1270.1711844346294</v>
      </c>
      <c r="E560" t="s">
        <v>13</v>
      </c>
    </row>
    <row r="561" spans="2:4" ht="12.75">
      <c r="B561" t="s">
        <v>325</v>
      </c>
      <c r="D561" s="32" t="s">
        <v>326</v>
      </c>
    </row>
    <row r="562" spans="4:5" ht="12.75">
      <c r="D562" s="32">
        <f>-D546*D549</f>
        <v>-391.5482727272728</v>
      </c>
      <c r="E562" t="s">
        <v>13</v>
      </c>
    </row>
    <row r="563" spans="2:5" ht="12.75">
      <c r="B563" t="s">
        <v>329</v>
      </c>
      <c r="D563" s="28">
        <f>SQRT(D560*D560+D562*D562)</f>
        <v>1329.1519430237388</v>
      </c>
      <c r="E563" t="s">
        <v>13</v>
      </c>
    </row>
    <row r="564" spans="2:4" ht="12.75">
      <c r="B564" t="s">
        <v>321</v>
      </c>
      <c r="D564" s="32" t="s">
        <v>330</v>
      </c>
    </row>
    <row r="565" spans="4:5" ht="12.75">
      <c r="D565" s="32">
        <f>ATAN(D562/D560)</f>
        <v>-0.2990212564158244</v>
      </c>
      <c r="E565" t="s">
        <v>59</v>
      </c>
    </row>
    <row r="566" spans="4:5" ht="12.75">
      <c r="D566" s="28">
        <f>180*D565/3.1416</f>
        <v>-17.132615913817286</v>
      </c>
      <c r="E566" t="s">
        <v>195</v>
      </c>
    </row>
    <row r="567" spans="2:4" ht="12.75">
      <c r="B567" t="s">
        <v>331</v>
      </c>
      <c r="D567" s="28">
        <f>SIN(-D565)</f>
        <v>0.2945850358060077</v>
      </c>
    </row>
    <row r="568" spans="2:4" ht="12.75">
      <c r="B568" t="s">
        <v>315</v>
      </c>
      <c r="D568" s="23" t="s">
        <v>638</v>
      </c>
    </row>
    <row r="569" spans="4:5" ht="12.75">
      <c r="D569" s="32">
        <f>546:546*567:567</f>
        <v>115.34426194114411</v>
      </c>
      <c r="E569" t="s">
        <v>18</v>
      </c>
    </row>
    <row r="570" spans="2:4" ht="12.75">
      <c r="B570" t="s">
        <v>332</v>
      </c>
      <c r="C570" t="s">
        <v>333</v>
      </c>
      <c r="D570" s="32" t="s">
        <v>334</v>
      </c>
    </row>
    <row r="571" spans="2:4" ht="12.75">
      <c r="B571" t="s">
        <v>332</v>
      </c>
      <c r="D571" s="32">
        <f>D569*(D548-D549)</f>
        <v>115.34426194114411</v>
      </c>
    </row>
    <row r="572" spans="2:4" ht="12.75">
      <c r="B572" t="s">
        <v>319</v>
      </c>
      <c r="D572" s="32" t="s">
        <v>335</v>
      </c>
    </row>
    <row r="573" spans="2:5" ht="12.75">
      <c r="B573" t="s">
        <v>319</v>
      </c>
      <c r="D573" s="32">
        <f>D563+D571</f>
        <v>1444.496204964883</v>
      </c>
      <c r="E573" t="s">
        <v>13</v>
      </c>
    </row>
    <row r="574" ht="12.75">
      <c r="D574" s="28"/>
    </row>
    <row r="575" spans="2:4" ht="12.75">
      <c r="B575" t="s">
        <v>336</v>
      </c>
      <c r="D575" s="28"/>
    </row>
    <row r="576" spans="2:4" ht="12.75">
      <c r="B576" t="s">
        <v>18</v>
      </c>
      <c r="D576" s="32" t="s">
        <v>337</v>
      </c>
    </row>
    <row r="577" spans="2:4" ht="12.75">
      <c r="B577" t="s">
        <v>18</v>
      </c>
      <c r="D577" s="32">
        <f>D573*D543/D548</f>
        <v>917378.7277857863</v>
      </c>
    </row>
    <row r="578" spans="1:4" ht="12.75">
      <c r="B578" t="s">
        <v>338</v>
      </c>
      <c r="D578" s="32" t="s">
        <v>339</v>
      </c>
    </row>
    <row r="579" spans="2:4" ht="12.75">
      <c r="B579" t="s">
        <v>338</v>
      </c>
      <c r="D579" s="32">
        <f>543:543*543:543*(548:548-549:549)/(2*548:548*549:549)</f>
        <v>403333.7094420173</v>
      </c>
    </row>
    <row r="580" ht="12.75">
      <c r="D580" s="28"/>
    </row>
    <row r="581" spans="2:4" ht="12.75">
      <c r="B581" t="s">
        <v>340</v>
      </c>
      <c r="D581" s="28" t="s">
        <v>341</v>
      </c>
    </row>
    <row r="582" spans="2:4" ht="12.75">
      <c r="B582" t="s">
        <v>747</v>
      </c>
      <c r="D582" s="28" t="s">
        <v>342</v>
      </c>
    </row>
    <row r="583" spans="2:4" ht="12.75">
      <c r="B583" t="s">
        <v>748</v>
      </c>
      <c r="D583" s="32" t="s">
        <v>343</v>
      </c>
    </row>
    <row r="584" spans="2:4" ht="12.75">
      <c r="B584" t="s">
        <v>748</v>
      </c>
      <c r="D584" s="32">
        <f>(-577:577+SQRT(577:577*577:577+32*579:579*579:579))/(8*579:579)</f>
        <v>0.4778126350043428</v>
      </c>
    </row>
    <row r="585" spans="4:5" ht="12.75">
      <c r="D585" s="28">
        <f>180*ACOS(D584)/3.1416</f>
        <v>61.457217338325826</v>
      </c>
      <c r="E585" t="s">
        <v>344</v>
      </c>
    </row>
    <row r="586" spans="2:5" ht="12.75">
      <c r="B586" s="4" t="s">
        <v>749</v>
      </c>
      <c r="D586" s="28">
        <f>3.1416*D585/180</f>
        <v>1.0726332999449133</v>
      </c>
      <c r="E586" t="s">
        <v>346</v>
      </c>
    </row>
    <row r="587" spans="2:4" ht="12.75">
      <c r="B587" t="s">
        <v>345</v>
      </c>
      <c r="D587" s="32" t="s">
        <v>750</v>
      </c>
    </row>
    <row r="588" spans="4:5" ht="12.75">
      <c r="D588" s="32">
        <f>577:577*SIN(586:586)+579:579*SIN(586:586*2)</f>
        <v>1144472.8340411987</v>
      </c>
      <c r="E588" t="s">
        <v>16</v>
      </c>
    </row>
    <row r="589" spans="2:4" ht="12.75">
      <c r="B589" t="s">
        <v>347</v>
      </c>
      <c r="D589" s="28"/>
    </row>
    <row r="590" spans="4:6" ht="13.5" thickBot="1">
      <c r="D590" s="28">
        <f>3*D588/1000</f>
        <v>3433.418502123596</v>
      </c>
      <c r="E590" t="s">
        <v>150</v>
      </c>
      <c r="F590" s="26" t="s">
        <v>14</v>
      </c>
    </row>
    <row r="591" ht="13.5" thickBot="1">
      <c r="E591" s="25" t="s">
        <v>304</v>
      </c>
    </row>
    <row r="592" spans="1:2" ht="12.75">
      <c r="A592" s="21" t="s">
        <v>349</v>
      </c>
      <c r="B592" s="21" t="s">
        <v>348</v>
      </c>
    </row>
    <row r="593" ht="12.75">
      <c r="B593" s="47" t="s">
        <v>487</v>
      </c>
    </row>
    <row r="594" ht="12.75">
      <c r="B594" s="47" t="s">
        <v>488</v>
      </c>
    </row>
    <row r="595" ht="12.75">
      <c r="B595" s="47" t="s">
        <v>489</v>
      </c>
    </row>
    <row r="596" ht="12.75">
      <c r="B596" s="47" t="s">
        <v>350</v>
      </c>
    </row>
    <row r="597" ht="12.75">
      <c r="B597" s="47" t="s">
        <v>351</v>
      </c>
    </row>
    <row r="598" ht="12.75">
      <c r="B598" s="47" t="s">
        <v>352</v>
      </c>
    </row>
    <row r="599" ht="12.75">
      <c r="B599" s="47" t="s">
        <v>353</v>
      </c>
    </row>
    <row r="600" ht="12.75">
      <c r="B600" s="47" t="s">
        <v>354</v>
      </c>
    </row>
    <row r="601" ht="12.75">
      <c r="B601" s="47" t="s">
        <v>355</v>
      </c>
    </row>
    <row r="603" spans="1:7" ht="12.75">
      <c r="A603" t="s">
        <v>12</v>
      </c>
      <c r="C603" t="s">
        <v>364</v>
      </c>
      <c r="F603" t="s">
        <v>365</v>
      </c>
      <c r="G603" t="s">
        <v>359</v>
      </c>
    </row>
    <row r="604" spans="4:7" ht="12.75">
      <c r="D604" t="s">
        <v>357</v>
      </c>
      <c r="E604" t="s">
        <v>358</v>
      </c>
      <c r="G604" t="s">
        <v>360</v>
      </c>
    </row>
    <row r="605" ht="12.75">
      <c r="C605" t="s">
        <v>361</v>
      </c>
    </row>
    <row r="606" spans="3:4" ht="12.75">
      <c r="C606" t="s">
        <v>356</v>
      </c>
      <c r="D606" s="2" t="s">
        <v>17</v>
      </c>
    </row>
    <row r="609" ht="12.75">
      <c r="C609" s="8" t="s">
        <v>74</v>
      </c>
    </row>
    <row r="610" ht="12.75">
      <c r="D610" s="8" t="s">
        <v>76</v>
      </c>
    </row>
    <row r="613" ht="12.75">
      <c r="E613" s="2" t="s">
        <v>490</v>
      </c>
    </row>
    <row r="616" spans="4:6" ht="12.75">
      <c r="D616" s="4" t="s">
        <v>217</v>
      </c>
      <c r="E616" t="s">
        <v>17</v>
      </c>
      <c r="F616" s="2" t="s">
        <v>751</v>
      </c>
    </row>
    <row r="617" ht="12.75">
      <c r="D617" s="9" t="s">
        <v>363</v>
      </c>
    </row>
    <row r="618" ht="12.75">
      <c r="F618" s="8" t="s">
        <v>362</v>
      </c>
    </row>
    <row r="620" ht="12.75">
      <c r="B620" t="s">
        <v>366</v>
      </c>
    </row>
    <row r="623" spans="2:5" ht="12.75">
      <c r="B623" t="s">
        <v>74</v>
      </c>
      <c r="D623">
        <v>1.35</v>
      </c>
      <c r="E623" t="s">
        <v>13</v>
      </c>
    </row>
    <row r="624" spans="2:5" ht="12.75">
      <c r="B624" t="s">
        <v>368</v>
      </c>
      <c r="D624">
        <v>0.15</v>
      </c>
      <c r="E624" t="s">
        <v>19</v>
      </c>
    </row>
    <row r="625" spans="2:5" ht="12.75">
      <c r="B625" t="s">
        <v>369</v>
      </c>
      <c r="D625">
        <v>1</v>
      </c>
      <c r="E625" t="s">
        <v>188</v>
      </c>
    </row>
    <row r="626" spans="2:5" ht="12.75">
      <c r="B626" t="s">
        <v>370</v>
      </c>
      <c r="D626">
        <v>0.9</v>
      </c>
      <c r="E626" t="s">
        <v>19</v>
      </c>
    </row>
    <row r="627" spans="2:4" ht="12.75">
      <c r="B627" t="s">
        <v>367</v>
      </c>
      <c r="D627" s="28">
        <f>623:623*624:624/(625:625*626:626)</f>
        <v>0.225</v>
      </c>
    </row>
    <row r="628" spans="2:5" ht="12.75">
      <c r="B628" s="4" t="s">
        <v>363</v>
      </c>
      <c r="D628" s="28">
        <f>ATAN(D627)</f>
        <v>0.2213144423477913</v>
      </c>
      <c r="E628" t="s">
        <v>372</v>
      </c>
    </row>
    <row r="629" spans="2:4" ht="12.75">
      <c r="B629" s="4" t="s">
        <v>217</v>
      </c>
      <c r="C629" s="4" t="s">
        <v>371</v>
      </c>
      <c r="D629" s="28"/>
    </row>
    <row r="630" spans="2:5" ht="12.75">
      <c r="B630" s="4" t="s">
        <v>217</v>
      </c>
      <c r="D630" s="28">
        <f>1.57-D628</f>
        <v>1.3486855576522088</v>
      </c>
      <c r="E630" t="s">
        <v>372</v>
      </c>
    </row>
    <row r="631" ht="12.75">
      <c r="D631" s="28"/>
    </row>
    <row r="632" spans="2:4" ht="12.75">
      <c r="B632" t="s">
        <v>373</v>
      </c>
      <c r="D632" s="28"/>
    </row>
    <row r="633" spans="2:6" ht="12.75">
      <c r="B633" t="s">
        <v>76</v>
      </c>
      <c r="D633" s="28">
        <f>(SQRT(623:623*623:623+625:625*625:625))/(626:626+624:624)</f>
        <v>1.6000283444201375</v>
      </c>
      <c r="E633" t="s">
        <v>18</v>
      </c>
      <c r="F633" s="26" t="s">
        <v>14</v>
      </c>
    </row>
    <row r="634" spans="4:6" ht="12.75">
      <c r="D634" s="28"/>
      <c r="F634" s="26"/>
    </row>
    <row r="635" spans="1:6" ht="12.75">
      <c r="B635" t="s">
        <v>374</v>
      </c>
      <c r="D635" s="28"/>
      <c r="F635" s="26"/>
    </row>
    <row r="636" spans="2:6" ht="12.75">
      <c r="B636" t="s">
        <v>375</v>
      </c>
      <c r="D636" s="28"/>
      <c r="F636" s="26"/>
    </row>
    <row r="637" spans="2:6" ht="12.75">
      <c r="B637" t="s">
        <v>376</v>
      </c>
      <c r="D637" s="28"/>
      <c r="F637" s="26"/>
    </row>
    <row r="638" spans="2:6" ht="12.75">
      <c r="B638" t="s">
        <v>215</v>
      </c>
      <c r="D638" s="28">
        <v>1</v>
      </c>
      <c r="F638" s="26"/>
    </row>
    <row r="639" spans="2:6" ht="12.75">
      <c r="B639" t="s">
        <v>377</v>
      </c>
      <c r="C639" s="23" t="s">
        <v>378</v>
      </c>
      <c r="D639" s="28"/>
      <c r="F639" s="26"/>
    </row>
    <row r="640" spans="2:6" ht="12.75">
      <c r="B640" t="s">
        <v>377</v>
      </c>
      <c r="D640" s="32">
        <f>-2*623:623*COS(1.57-628:628)</f>
        <v>-0.5947803800000677</v>
      </c>
      <c r="F640" s="26"/>
    </row>
    <row r="641" spans="2:6" ht="12.75">
      <c r="B641" t="s">
        <v>379</v>
      </c>
      <c r="C641" s="23" t="s">
        <v>380</v>
      </c>
      <c r="D641" s="28"/>
      <c r="F641" s="26"/>
    </row>
    <row r="642" spans="2:6" ht="12.75">
      <c r="B642" t="s">
        <v>379</v>
      </c>
      <c r="D642" s="32">
        <f>623:623*623:623-633:633*633:633*626:626*626:626</f>
        <v>-0.2511734693877554</v>
      </c>
      <c r="F642" s="26"/>
    </row>
    <row r="643" spans="2:6" ht="12.75">
      <c r="B643" t="s">
        <v>17</v>
      </c>
      <c r="C643" s="23" t="s">
        <v>381</v>
      </c>
      <c r="D643" s="28"/>
      <c r="F643" s="26"/>
    </row>
    <row r="644" spans="4:6" ht="12.75">
      <c r="D644" s="32">
        <f>(-D640+SQRT(D640*D640-4*D638*D642))/(2*D638)</f>
        <v>0.880154631688107</v>
      </c>
      <c r="E644" t="s">
        <v>13</v>
      </c>
      <c r="F644" s="26" t="s">
        <v>14</v>
      </c>
    </row>
    <row r="645" spans="2:4" ht="12.75">
      <c r="B645" t="s">
        <v>491</v>
      </c>
      <c r="D645" s="28"/>
    </row>
    <row r="646" spans="4:6" ht="12.75">
      <c r="D646" s="28">
        <f>D623*D625/(D624+D626)</f>
        <v>1.2857142857142858</v>
      </c>
      <c r="F646" s="26" t="s">
        <v>14</v>
      </c>
    </row>
    <row r="647" spans="4:6" ht="12.75">
      <c r="D647" s="28"/>
      <c r="F647" s="26"/>
    </row>
    <row r="648" spans="2:6" ht="12.75">
      <c r="B648" t="s">
        <v>383</v>
      </c>
      <c r="D648" s="33" t="s">
        <v>384</v>
      </c>
      <c r="F648" s="26"/>
    </row>
    <row r="649" spans="4:6" ht="12.75">
      <c r="D649" s="33">
        <f>(D623*D644*COS(D630)/D626)-D644*D644/D626</f>
        <v>-0.5699142472609905</v>
      </c>
      <c r="E649" t="s">
        <v>388</v>
      </c>
      <c r="F649" s="26" t="s">
        <v>14</v>
      </c>
    </row>
    <row r="650" spans="2:6" ht="12.75">
      <c r="B650" s="26" t="s">
        <v>385</v>
      </c>
      <c r="D650" s="28"/>
      <c r="F650" s="26"/>
    </row>
    <row r="651" ht="12.75">
      <c r="D651" s="28"/>
    </row>
    <row r="652" spans="2:4" ht="12.75">
      <c r="B652" t="s">
        <v>386</v>
      </c>
      <c r="D652" s="28"/>
    </row>
    <row r="653" spans="2:4" ht="12.75">
      <c r="B653" t="s">
        <v>387</v>
      </c>
      <c r="D653" s="28" t="s">
        <v>752</v>
      </c>
    </row>
    <row r="654" spans="4:6" ht="12.75">
      <c r="D654" s="28">
        <f>D625*D625/D624-(D644*D625*COS(D628)/D624)</f>
        <v>0.942083696337515</v>
      </c>
      <c r="E654" t="s">
        <v>388</v>
      </c>
      <c r="F654" s="26" t="s">
        <v>14</v>
      </c>
    </row>
    <row r="655" spans="2:6" ht="12.75">
      <c r="B655" t="s">
        <v>389</v>
      </c>
      <c r="D655" s="28"/>
      <c r="F655" s="26"/>
    </row>
    <row r="656" spans="2:6" ht="12.75">
      <c r="B656" t="s">
        <v>390</v>
      </c>
      <c r="D656">
        <v>0.88</v>
      </c>
      <c r="E656" t="s">
        <v>388</v>
      </c>
      <c r="F656" s="26" t="s">
        <v>14</v>
      </c>
    </row>
    <row r="657" spans="2:6" ht="12.75">
      <c r="B657" t="s">
        <v>391</v>
      </c>
      <c r="D657">
        <v>1.6</v>
      </c>
      <c r="E657" t="s">
        <v>388</v>
      </c>
      <c r="F657" s="26" t="s">
        <v>14</v>
      </c>
    </row>
    <row r="658" ht="13.5" thickBot="1"/>
    <row r="659" ht="13.5" thickBot="1">
      <c r="E659" s="25" t="s">
        <v>304</v>
      </c>
    </row>
    <row r="660" spans="1:2" ht="12.75">
      <c r="A660" s="21" t="s">
        <v>394</v>
      </c>
      <c r="B660" s="47" t="s">
        <v>395</v>
      </c>
    </row>
    <row r="661" ht="12.75">
      <c r="B661" s="47" t="s">
        <v>396</v>
      </c>
    </row>
    <row r="662" ht="12.75">
      <c r="B662" s="47" t="s">
        <v>397</v>
      </c>
    </row>
    <row r="663" ht="12.75">
      <c r="B663" s="47" t="s">
        <v>398</v>
      </c>
    </row>
    <row r="665" spans="2:4" ht="12.75">
      <c r="B665" t="s">
        <v>158</v>
      </c>
      <c r="C665" t="s">
        <v>300</v>
      </c>
      <c r="D665" s="28">
        <f>500/3</f>
        <v>166.66666666666666</v>
      </c>
    </row>
    <row r="666" spans="2:4" ht="12.75">
      <c r="B666" t="s">
        <v>401</v>
      </c>
      <c r="C666" t="s">
        <v>300</v>
      </c>
      <c r="D666" s="28">
        <f>3300/1.73205</f>
        <v>1905.2567766519442</v>
      </c>
    </row>
    <row r="667" spans="2:6" ht="12.75">
      <c r="B667" t="s">
        <v>17</v>
      </c>
      <c r="D667" s="28">
        <v>1</v>
      </c>
      <c r="E667" t="s">
        <v>388</v>
      </c>
      <c r="F667" t="s">
        <v>492</v>
      </c>
    </row>
    <row r="668" spans="2:6" ht="12.75">
      <c r="B668" t="s">
        <v>370</v>
      </c>
      <c r="D668" s="28">
        <v>0.25</v>
      </c>
      <c r="E668" t="s">
        <v>388</v>
      </c>
      <c r="F668" t="s">
        <v>407</v>
      </c>
    </row>
    <row r="669" spans="2:6" ht="12.75">
      <c r="B669" t="s">
        <v>399</v>
      </c>
      <c r="C669" t="s">
        <v>400</v>
      </c>
      <c r="D669">
        <v>1</v>
      </c>
      <c r="E669" t="s">
        <v>388</v>
      </c>
      <c r="F669" t="s">
        <v>408</v>
      </c>
    </row>
    <row r="670" spans="2:6" ht="12.75">
      <c r="B670" s="21" t="s">
        <v>74</v>
      </c>
      <c r="D670" s="23" t="s">
        <v>402</v>
      </c>
      <c r="F670" t="s">
        <v>409</v>
      </c>
    </row>
    <row r="671" spans="2:5" ht="12.75">
      <c r="B671" t="s">
        <v>531</v>
      </c>
      <c r="C671" s="23" t="s">
        <v>403</v>
      </c>
      <c r="D671">
        <v>0.8</v>
      </c>
      <c r="E671" t="s">
        <v>128</v>
      </c>
    </row>
    <row r="672" spans="2:4" ht="12.75">
      <c r="B672" s="22" t="s">
        <v>753</v>
      </c>
      <c r="D672">
        <f>-SIN(ACOS(D671))</f>
        <v>-0.5999999999999999</v>
      </c>
    </row>
    <row r="673" spans="2:4" ht="12.75">
      <c r="B673" t="s">
        <v>404</v>
      </c>
      <c r="D673" s="23" t="s">
        <v>754</v>
      </c>
    </row>
    <row r="674" ht="12.75">
      <c r="D674" s="23">
        <f>667:667-669:669*668:668*672:672</f>
        <v>1.15</v>
      </c>
    </row>
    <row r="675" spans="2:4" ht="12.75">
      <c r="B675" t="s">
        <v>405</v>
      </c>
      <c r="D675" s="23" t="s">
        <v>755</v>
      </c>
    </row>
    <row r="676" ht="12.75">
      <c r="D676" s="23">
        <f>669:669*668:668*671:671</f>
        <v>0.2</v>
      </c>
    </row>
    <row r="677" spans="2:5" ht="12.75">
      <c r="B677" t="s">
        <v>406</v>
      </c>
      <c r="D677" s="28">
        <f>SQRT(D674*D674+D676*D676)</f>
        <v>1.167261752992875</v>
      </c>
      <c r="E677" t="s">
        <v>388</v>
      </c>
    </row>
    <row r="678" ht="12.75">
      <c r="B678" s="22" t="s">
        <v>639</v>
      </c>
    </row>
    <row r="679" ht="12.75">
      <c r="B679" s="34" t="s">
        <v>411</v>
      </c>
    </row>
    <row r="680" spans="2:5" ht="12.75">
      <c r="B680" t="s">
        <v>412</v>
      </c>
      <c r="D680" s="28">
        <f>1.2*D677</f>
        <v>1.40071410359145</v>
      </c>
      <c r="E680" t="s">
        <v>388</v>
      </c>
    </row>
    <row r="681" spans="2:4" ht="12.75">
      <c r="B681" s="21" t="s">
        <v>318</v>
      </c>
      <c r="D681" s="23" t="s">
        <v>410</v>
      </c>
    </row>
    <row r="682" spans="2:4" ht="12.75">
      <c r="B682" t="s">
        <v>413</v>
      </c>
      <c r="D682" s="23" t="s">
        <v>641</v>
      </c>
    </row>
    <row r="683" spans="2:4" ht="12.75">
      <c r="B683" t="s">
        <v>414</v>
      </c>
      <c r="D683" s="23" t="s">
        <v>642</v>
      </c>
    </row>
    <row r="685" spans="2:4" ht="12.75">
      <c r="B685" t="s">
        <v>640</v>
      </c>
      <c r="D685" s="23" t="s">
        <v>415</v>
      </c>
    </row>
    <row r="686" ht="12.75">
      <c r="D686" s="23" t="s">
        <v>415</v>
      </c>
    </row>
    <row r="687" ht="12.75">
      <c r="D687" s="23" t="s">
        <v>416</v>
      </c>
    </row>
    <row r="688" spans="4:5" ht="12.75">
      <c r="D688" s="23" t="s">
        <v>417</v>
      </c>
      <c r="E688" t="s">
        <v>418</v>
      </c>
    </row>
    <row r="689" spans="2:4" ht="12.75">
      <c r="B689" t="s">
        <v>643</v>
      </c>
      <c r="D689" s="23" t="s">
        <v>419</v>
      </c>
    </row>
    <row r="690" ht="12.75">
      <c r="D690" s="23" t="s">
        <v>420</v>
      </c>
    </row>
    <row r="691" ht="12.75">
      <c r="B691" t="s">
        <v>421</v>
      </c>
    </row>
    <row r="692" spans="2:4" ht="12.75">
      <c r="B692" t="s">
        <v>644</v>
      </c>
      <c r="D692" s="23" t="s">
        <v>645</v>
      </c>
    </row>
    <row r="693" spans="4:5" ht="12.75">
      <c r="D693" s="35">
        <f>669:669*671:671</f>
        <v>0.8</v>
      </c>
      <c r="E693" s="23" t="s">
        <v>422</v>
      </c>
    </row>
    <row r="694" spans="2:5" ht="12.75">
      <c r="B694" s="4" t="s">
        <v>423</v>
      </c>
      <c r="D694" s="28">
        <f>ASIN(0.8/5.6)</f>
        <v>0.1433475689053654</v>
      </c>
      <c r="E694" t="s">
        <v>372</v>
      </c>
    </row>
    <row r="695" spans="2:4" ht="12.75">
      <c r="B695" t="s">
        <v>643</v>
      </c>
      <c r="D695" s="32" t="s">
        <v>420</v>
      </c>
    </row>
    <row r="696" ht="12.75">
      <c r="D696" s="28">
        <f>4-5.6*COS(D694)</f>
        <v>-1.5425625842204074</v>
      </c>
    </row>
    <row r="697" spans="2:4" ht="12.75">
      <c r="B697" t="s">
        <v>424</v>
      </c>
      <c r="D697" s="32" t="s">
        <v>646</v>
      </c>
    </row>
    <row r="698" spans="4:6" ht="12.75">
      <c r="D698" s="28">
        <f>SQRT(D693*D693+D696*D696)</f>
        <v>1.7376706610392954</v>
      </c>
      <c r="E698" t="s">
        <v>388</v>
      </c>
      <c r="F698" s="26" t="s">
        <v>14</v>
      </c>
    </row>
    <row r="699" spans="2:6" ht="12.75">
      <c r="B699" t="s">
        <v>647</v>
      </c>
      <c r="C699" t="s">
        <v>425</v>
      </c>
      <c r="D699" s="28">
        <f>D693/D698</f>
        <v>0.4603864345166089</v>
      </c>
      <c r="E699" t="s">
        <v>128</v>
      </c>
      <c r="F699" s="26" t="s">
        <v>14</v>
      </c>
    </row>
    <row r="700" spans="2:4" ht="12.75">
      <c r="B700" t="s">
        <v>426</v>
      </c>
      <c r="C700" t="s">
        <v>25</v>
      </c>
      <c r="D700" s="23" t="s">
        <v>427</v>
      </c>
    </row>
    <row r="701" spans="4:5" ht="12.75">
      <c r="D701" s="32">
        <f>(665:665/666:666)*1000</f>
        <v>87.47727272727272</v>
      </c>
      <c r="E701" t="s">
        <v>18</v>
      </c>
    </row>
    <row r="702" spans="2:6" ht="12.75">
      <c r="B702" t="s">
        <v>424</v>
      </c>
      <c r="C702" t="s">
        <v>25</v>
      </c>
      <c r="D702" s="28">
        <f>D698*D701</f>
        <v>152.00669032591472</v>
      </c>
      <c r="E702" t="s">
        <v>18</v>
      </c>
      <c r="F702" s="26" t="s">
        <v>14</v>
      </c>
    </row>
    <row r="703" spans="1:4" ht="13.5" thickBot="1">
      <c r="D703" s="28"/>
    </row>
    <row r="704" ht="13.5" thickBot="1">
      <c r="E704" s="25" t="s">
        <v>304</v>
      </c>
    </row>
    <row r="707" spans="1:2" ht="12.75">
      <c r="A707" s="21" t="s">
        <v>429</v>
      </c>
      <c r="B707" s="47" t="s">
        <v>430</v>
      </c>
    </row>
    <row r="708" ht="12.75">
      <c r="B708" s="47" t="s">
        <v>493</v>
      </c>
    </row>
    <row r="709" ht="12.75">
      <c r="B709" s="47" t="s">
        <v>431</v>
      </c>
    </row>
    <row r="710" ht="12.75">
      <c r="B710" s="47" t="s">
        <v>494</v>
      </c>
    </row>
    <row r="711" ht="12.75">
      <c r="B711" s="47" t="s">
        <v>495</v>
      </c>
    </row>
    <row r="712" ht="12.75">
      <c r="B712" s="47" t="s">
        <v>432</v>
      </c>
    </row>
    <row r="714" spans="1:4" ht="12.75">
      <c r="A714" t="s">
        <v>12</v>
      </c>
      <c r="D714" s="2" t="s">
        <v>76</v>
      </c>
    </row>
    <row r="715" spans="5:6" ht="12.75">
      <c r="E715" s="8" t="s">
        <v>435</v>
      </c>
      <c r="F715" s="8" t="s">
        <v>436</v>
      </c>
    </row>
    <row r="717" spans="2:7" ht="12.75">
      <c r="B717" s="8" t="s">
        <v>433</v>
      </c>
      <c r="D717" t="s">
        <v>213</v>
      </c>
      <c r="G717" t="s">
        <v>434</v>
      </c>
    </row>
    <row r="722" spans="2:4" ht="12.75">
      <c r="B722" t="s">
        <v>150</v>
      </c>
      <c r="C722" t="s">
        <v>300</v>
      </c>
      <c r="D722">
        <f>2800/3</f>
        <v>933.3333333333334</v>
      </c>
    </row>
    <row r="723" spans="2:5" ht="12.75">
      <c r="B723" t="s">
        <v>446</v>
      </c>
      <c r="C723" t="s">
        <v>437</v>
      </c>
      <c r="D723">
        <v>0.7</v>
      </c>
      <c r="E723" t="s">
        <v>128</v>
      </c>
    </row>
    <row r="724" spans="2:4" ht="12.75">
      <c r="B724" t="s">
        <v>158</v>
      </c>
      <c r="C724" t="s">
        <v>300</v>
      </c>
      <c r="D724" s="23" t="s">
        <v>447</v>
      </c>
    </row>
    <row r="725" ht="12.75">
      <c r="D725" s="23">
        <f>D722/D723</f>
        <v>1333.3333333333335</v>
      </c>
    </row>
    <row r="726" spans="2:4" ht="12.75">
      <c r="B726" t="s">
        <v>400</v>
      </c>
      <c r="C726" t="s">
        <v>300</v>
      </c>
      <c r="D726" s="23" t="s">
        <v>438</v>
      </c>
    </row>
    <row r="727" spans="4:5" ht="12.75">
      <c r="D727" s="23">
        <v>1333.333</v>
      </c>
      <c r="E727" t="s">
        <v>150</v>
      </c>
    </row>
    <row r="728" ht="12.75">
      <c r="B728" t="s">
        <v>439</v>
      </c>
    </row>
    <row r="729" spans="2:4" ht="12.75">
      <c r="B729" t="s">
        <v>448</v>
      </c>
      <c r="D729" s="23" t="s">
        <v>440</v>
      </c>
    </row>
    <row r="730" spans="4:5" ht="12.75">
      <c r="D730" s="23">
        <f>1333.333-933.333</f>
        <v>400.0000000000001</v>
      </c>
      <c r="E730" t="s">
        <v>276</v>
      </c>
    </row>
    <row r="731" spans="3:6" ht="12.75">
      <c r="C731" s="23" t="s">
        <v>299</v>
      </c>
      <c r="D731" t="s">
        <v>441</v>
      </c>
      <c r="F731" s="26" t="s">
        <v>14</v>
      </c>
    </row>
    <row r="733" ht="12.75">
      <c r="B733" s="26" t="s">
        <v>442</v>
      </c>
    </row>
    <row r="736" ht="12.75">
      <c r="D736" s="2" t="s">
        <v>436</v>
      </c>
    </row>
    <row r="739" spans="4:6" ht="12.75">
      <c r="D739" s="9" t="s">
        <v>444</v>
      </c>
      <c r="F739" s="2" t="s">
        <v>17</v>
      </c>
    </row>
    <row r="740" spans="4:5" ht="12.75">
      <c r="D740" s="9" t="s">
        <v>445</v>
      </c>
      <c r="E740" s="2" t="s">
        <v>76</v>
      </c>
    </row>
    <row r="743" ht="12.75">
      <c r="D743" s="2" t="s">
        <v>435</v>
      </c>
    </row>
    <row r="749" ht="12.75">
      <c r="F749" s="2" t="s">
        <v>449</v>
      </c>
    </row>
    <row r="750" spans="1:5" ht="12.75">
      <c r="D750" s="2" t="s">
        <v>451</v>
      </c>
      <c r="E750" s="11" t="s">
        <v>445</v>
      </c>
    </row>
    <row r="751" spans="4:5" ht="12.75">
      <c r="D751" s="9" t="s">
        <v>444</v>
      </c>
      <c r="E751" s="36" t="s">
        <v>452</v>
      </c>
    </row>
    <row r="753" ht="12.75">
      <c r="E753" t="s">
        <v>450</v>
      </c>
    </row>
    <row r="756" spans="2:4" ht="12.75">
      <c r="B756" t="s">
        <v>456</v>
      </c>
      <c r="D756" s="28">
        <f>TAN(ACOS(D723))</f>
        <v>1.020204061220407</v>
      </c>
    </row>
    <row r="757" spans="2:4" ht="12.75">
      <c r="B757" t="s">
        <v>450</v>
      </c>
      <c r="C757" s="23" t="s">
        <v>453</v>
      </c>
      <c r="D757" s="32">
        <f>933.333*756:756</f>
        <v>952.1901170710262</v>
      </c>
    </row>
    <row r="758" spans="2:5" ht="12.75">
      <c r="B758" t="s">
        <v>449</v>
      </c>
      <c r="C758" s="23" t="s">
        <v>454</v>
      </c>
      <c r="D758" s="32" t="s">
        <v>455</v>
      </c>
      <c r="E758" s="23"/>
    </row>
    <row r="759" spans="2:4" ht="12.75">
      <c r="B759" t="s">
        <v>457</v>
      </c>
      <c r="D759" s="28"/>
    </row>
    <row r="760" spans="2:4" ht="12.75">
      <c r="B760" t="s">
        <v>458</v>
      </c>
      <c r="D760" s="32">
        <f>D757/400</f>
        <v>2.3804752926775654</v>
      </c>
    </row>
    <row r="761" spans="2:5" ht="12.75">
      <c r="B761" s="4" t="s">
        <v>443</v>
      </c>
      <c r="D761" s="28">
        <f>ATAN(D760)</f>
        <v>1.1730967841772784</v>
      </c>
      <c r="E761" t="s">
        <v>372</v>
      </c>
    </row>
    <row r="762" spans="2:6" ht="12.75">
      <c r="B762" s="22" t="s">
        <v>459</v>
      </c>
      <c r="D762" s="28">
        <f>COS(D761)</f>
        <v>0.3872984521934831</v>
      </c>
      <c r="E762" t="s">
        <v>129</v>
      </c>
      <c r="F762" s="26" t="s">
        <v>14</v>
      </c>
    </row>
    <row r="763" ht="13.5" thickBot="1"/>
    <row r="764" ht="13.5" thickBot="1">
      <c r="E764" s="25" t="s">
        <v>304</v>
      </c>
    </row>
    <row r="765" spans="1:2" ht="12.75">
      <c r="A765" s="21" t="s">
        <v>460</v>
      </c>
      <c r="B765" s="21" t="s">
        <v>479</v>
      </c>
    </row>
    <row r="766" spans="2:3" ht="12.75">
      <c r="B766" s="47" t="s">
        <v>496</v>
      </c>
      <c r="C766" s="47"/>
    </row>
    <row r="767" spans="2:4" ht="12.75">
      <c r="B767" s="47" t="s">
        <v>461</v>
      </c>
      <c r="C767" s="47"/>
      <c r="D767" t="s">
        <v>462</v>
      </c>
    </row>
    <row r="768" spans="2:4" ht="12.75">
      <c r="B768" s="47">
        <v>266</v>
      </c>
      <c r="C768" s="47"/>
      <c r="D768">
        <v>2</v>
      </c>
    </row>
    <row r="769" spans="2:4" ht="12.75">
      <c r="B769" s="47">
        <v>334</v>
      </c>
      <c r="C769" s="47"/>
      <c r="D769">
        <v>2.5</v>
      </c>
    </row>
    <row r="770" spans="2:4" ht="12.75">
      <c r="B770" s="47">
        <v>377</v>
      </c>
      <c r="C770" s="47"/>
      <c r="D770">
        <v>3</v>
      </c>
    </row>
    <row r="771" spans="2:4" ht="12.75">
      <c r="B771" s="47">
        <v>422</v>
      </c>
      <c r="C771" s="47"/>
      <c r="D771">
        <v>3.5</v>
      </c>
    </row>
    <row r="772" spans="2:4" ht="12.75">
      <c r="B772" s="47">
        <v>450</v>
      </c>
      <c r="C772" s="47"/>
      <c r="D772">
        <v>4</v>
      </c>
    </row>
    <row r="773" spans="2:4" ht="12.75">
      <c r="B773" s="47">
        <v>484</v>
      </c>
      <c r="C773" s="47"/>
      <c r="D773">
        <v>4.5</v>
      </c>
    </row>
    <row r="774" spans="2:4" ht="12.75">
      <c r="B774" s="47">
        <v>508</v>
      </c>
      <c r="C774" s="47"/>
      <c r="D774">
        <v>5</v>
      </c>
    </row>
    <row r="775" spans="2:3" ht="12.75">
      <c r="B775" s="47" t="s">
        <v>722</v>
      </c>
      <c r="C775" s="47"/>
    </row>
    <row r="776" spans="2:3" ht="12.75">
      <c r="B776" s="47" t="s">
        <v>721</v>
      </c>
      <c r="C776" s="47"/>
    </row>
    <row r="777" spans="1:3" ht="12.75">
      <c r="A777" t="s">
        <v>12</v>
      </c>
      <c r="C777" s="2">
        <v>600</v>
      </c>
    </row>
    <row r="778" ht="12.75">
      <c r="A778" s="18"/>
    </row>
    <row r="779" ht="12.75">
      <c r="B779" t="s">
        <v>497</v>
      </c>
    </row>
    <row r="780" ht="12.75">
      <c r="C780" s="2">
        <v>400</v>
      </c>
    </row>
    <row r="785" ht="12.75">
      <c r="C785" s="2">
        <v>200</v>
      </c>
    </row>
    <row r="787" spans="4:5" ht="12.75">
      <c r="D787" t="s">
        <v>463</v>
      </c>
      <c r="E787" t="s">
        <v>464</v>
      </c>
    </row>
    <row r="789" ht="12.75">
      <c r="B789" t="s">
        <v>465</v>
      </c>
    </row>
    <row r="791" ht="12.75">
      <c r="B791" t="s">
        <v>468</v>
      </c>
    </row>
    <row r="792" spans="4:5" ht="12.75">
      <c r="D792">
        <v>3.3</v>
      </c>
      <c r="E792" t="s">
        <v>18</v>
      </c>
    </row>
    <row r="793" ht="12.75">
      <c r="B793" t="s">
        <v>469</v>
      </c>
    </row>
    <row r="794" spans="4:5" ht="12.75">
      <c r="D794">
        <v>2</v>
      </c>
      <c r="E794" t="s">
        <v>18</v>
      </c>
    </row>
    <row r="795" ht="12.75">
      <c r="B795" t="s">
        <v>466</v>
      </c>
    </row>
    <row r="796" ht="12.75">
      <c r="D796" t="s">
        <v>467</v>
      </c>
    </row>
    <row r="797" ht="12.75">
      <c r="D797">
        <f>D792/D794</f>
        <v>1.65</v>
      </c>
    </row>
    <row r="798" spans="2:3" ht="12.75">
      <c r="B798" t="s">
        <v>370</v>
      </c>
      <c r="C798" t="s">
        <v>498</v>
      </c>
    </row>
    <row r="799" spans="2:5" ht="12.75">
      <c r="B799" t="s">
        <v>370</v>
      </c>
      <c r="D799">
        <f>1/D797</f>
        <v>0.6060606060606061</v>
      </c>
      <c r="E799" t="s">
        <v>388</v>
      </c>
    </row>
    <row r="803" ht="12.75">
      <c r="F803" t="s">
        <v>74</v>
      </c>
    </row>
    <row r="804" spans="2:6" ht="12.75">
      <c r="B804" s="26" t="s">
        <v>442</v>
      </c>
      <c r="F804" s="8" t="s">
        <v>499</v>
      </c>
    </row>
    <row r="805" ht="12.75">
      <c r="E805" s="8" t="s">
        <v>17</v>
      </c>
    </row>
    <row r="806" ht="12.75">
      <c r="D806" s="9" t="s">
        <v>142</v>
      </c>
    </row>
    <row r="808" spans="1:4" ht="12.75">
      <c r="D808" s="2" t="s">
        <v>76</v>
      </c>
    </row>
    <row r="811" spans="2:5" ht="12.75">
      <c r="B811" t="s">
        <v>472</v>
      </c>
      <c r="C811" s="23" t="s">
        <v>299</v>
      </c>
      <c r="D811" s="23" t="s">
        <v>473</v>
      </c>
      <c r="E811" t="s">
        <v>13</v>
      </c>
    </row>
    <row r="812" spans="3:4" ht="12.75">
      <c r="C812" s="23" t="s">
        <v>299</v>
      </c>
      <c r="D812" s="23">
        <f>400/1.73205</f>
        <v>230.9402153517508</v>
      </c>
    </row>
    <row r="814" spans="2:5" ht="12.75">
      <c r="B814" t="s">
        <v>17</v>
      </c>
      <c r="C814" s="23" t="s">
        <v>299</v>
      </c>
      <c r="D814">
        <v>1</v>
      </c>
      <c r="E814" t="s">
        <v>388</v>
      </c>
    </row>
    <row r="815" spans="2:5" ht="12.75">
      <c r="B815" t="s">
        <v>76</v>
      </c>
      <c r="C815" s="23" t="s">
        <v>299</v>
      </c>
      <c r="D815">
        <v>1</v>
      </c>
      <c r="E815" t="s">
        <v>388</v>
      </c>
    </row>
    <row r="816" spans="2:5" ht="12.75">
      <c r="B816" t="s">
        <v>370</v>
      </c>
      <c r="C816" s="23" t="s">
        <v>299</v>
      </c>
      <c r="D816">
        <v>0.606</v>
      </c>
      <c r="E816" t="s">
        <v>388</v>
      </c>
    </row>
    <row r="817" spans="2:4" ht="12.75">
      <c r="B817" t="s">
        <v>470</v>
      </c>
      <c r="D817">
        <v>0.8</v>
      </c>
    </row>
    <row r="818" spans="2:4" ht="12.75">
      <c r="B818" t="s">
        <v>147</v>
      </c>
      <c r="D818">
        <v>0.6</v>
      </c>
    </row>
    <row r="819" spans="2:5" ht="12.75">
      <c r="B819" t="s">
        <v>74</v>
      </c>
      <c r="C819" s="23" t="s">
        <v>299</v>
      </c>
      <c r="D819" s="23" t="s">
        <v>471</v>
      </c>
      <c r="E819" t="s">
        <v>388</v>
      </c>
    </row>
    <row r="820" spans="2:4" ht="12.75">
      <c r="B820" t="s">
        <v>476</v>
      </c>
      <c r="D820" s="23">
        <f>SQRT((D814*D817)*(D814*D817)+(D814*D818+D815*D816)*(D814*D818+D815*D816))</f>
        <v>1.4472166389314352</v>
      </c>
    </row>
    <row r="821" spans="2:4" ht="12.75">
      <c r="B821" t="s">
        <v>74</v>
      </c>
      <c r="C821" t="s">
        <v>474</v>
      </c>
      <c r="D821" s="23" t="s">
        <v>475</v>
      </c>
    </row>
    <row r="822" ht="12.75">
      <c r="D822" s="23">
        <f>D820*D812</f>
        <v>334.2205222554626</v>
      </c>
    </row>
    <row r="823" spans="2:4" ht="12.75">
      <c r="B823" t="s">
        <v>477</v>
      </c>
      <c r="D823" s="23" t="s">
        <v>478</v>
      </c>
    </row>
    <row r="824" ht="12.75">
      <c r="D824">
        <f>(D822-D812)/D812</f>
        <v>0.44721663893143504</v>
      </c>
    </row>
    <row r="825" spans="3:5" ht="12.75">
      <c r="C825" s="23" t="s">
        <v>299</v>
      </c>
      <c r="D825" s="37">
        <v>0.4472</v>
      </c>
      <c r="E825" s="26" t="s">
        <v>14</v>
      </c>
    </row>
    <row r="826" ht="13.5" thickBot="1"/>
    <row r="827" ht="13.5" thickBot="1">
      <c r="E827" s="25" t="s">
        <v>304</v>
      </c>
    </row>
    <row r="828" spans="1:6" ht="12.75">
      <c r="A828" s="21" t="s">
        <v>626</v>
      </c>
      <c r="B828" s="21" t="s">
        <v>501</v>
      </c>
      <c r="F828" s="38"/>
    </row>
    <row r="829" ht="12.75">
      <c r="B829" s="47" t="s">
        <v>502</v>
      </c>
    </row>
    <row r="830" ht="12.75">
      <c r="B830" s="47" t="s">
        <v>504</v>
      </c>
    </row>
    <row r="831" ht="12.75">
      <c r="B831" s="47" t="s">
        <v>503</v>
      </c>
    </row>
    <row r="833" spans="1:2" ht="12.75">
      <c r="A833" s="21" t="s">
        <v>12</v>
      </c>
      <c r="B833" t="s">
        <v>505</v>
      </c>
    </row>
    <row r="836" ht="12.75">
      <c r="D836" s="2" t="s">
        <v>76</v>
      </c>
    </row>
    <row r="837" spans="4:5" ht="12.75">
      <c r="D837" s="9" t="s">
        <v>142</v>
      </c>
      <c r="E837" s="8" t="s">
        <v>17</v>
      </c>
    </row>
    <row r="839" spans="2:5" ht="12.75">
      <c r="B839" s="26" t="s">
        <v>102</v>
      </c>
      <c r="D839" s="9" t="s">
        <v>217</v>
      </c>
      <c r="E839" s="2" t="s">
        <v>254</v>
      </c>
    </row>
    <row r="841" ht="12.75">
      <c r="E841" s="2" t="s">
        <v>75</v>
      </c>
    </row>
    <row r="843" ht="12.75">
      <c r="D843" s="8" t="s">
        <v>74</v>
      </c>
    </row>
    <row r="846" spans="2:5" ht="12.75">
      <c r="B846" t="s">
        <v>17</v>
      </c>
      <c r="C846" t="s">
        <v>300</v>
      </c>
      <c r="D846">
        <v>230</v>
      </c>
      <c r="E846" t="s">
        <v>17</v>
      </c>
    </row>
    <row r="847" spans="2:5" ht="12.75">
      <c r="B847" t="s">
        <v>297</v>
      </c>
      <c r="D847">
        <v>1</v>
      </c>
      <c r="E847" t="s">
        <v>19</v>
      </c>
    </row>
    <row r="848" spans="2:5" ht="12.75">
      <c r="B848" t="s">
        <v>370</v>
      </c>
      <c r="D848">
        <v>8</v>
      </c>
      <c r="E848" t="s">
        <v>19</v>
      </c>
    </row>
    <row r="849" spans="2:3" ht="12.75">
      <c r="B849" t="s">
        <v>506</v>
      </c>
      <c r="C849" t="s">
        <v>437</v>
      </c>
    </row>
    <row r="850" ht="12.75">
      <c r="B850" s="21" t="s">
        <v>295</v>
      </c>
    </row>
    <row r="851" spans="2:5" ht="12.75">
      <c r="B851" t="s">
        <v>508</v>
      </c>
      <c r="C851" t="s">
        <v>525</v>
      </c>
      <c r="D851">
        <v>3730</v>
      </c>
      <c r="E851" t="s">
        <v>16</v>
      </c>
    </row>
    <row r="852" spans="2:5" ht="12.75">
      <c r="B852" t="s">
        <v>529</v>
      </c>
      <c r="C852" s="23"/>
      <c r="D852" s="32">
        <f>851:851/(3*846:846)</f>
        <v>5.405797101449275</v>
      </c>
      <c r="E852" t="s">
        <v>18</v>
      </c>
    </row>
    <row r="853" spans="2:5" ht="12.75">
      <c r="B853" t="s">
        <v>74</v>
      </c>
      <c r="C853" t="s">
        <v>509</v>
      </c>
      <c r="D853" s="28">
        <v>460</v>
      </c>
      <c r="E853" t="s">
        <v>17</v>
      </c>
    </row>
    <row r="854" spans="2:5" ht="12.75">
      <c r="B854" t="s">
        <v>74</v>
      </c>
      <c r="C854" t="s">
        <v>300</v>
      </c>
      <c r="D854" s="28">
        <f>460/1.73</f>
        <v>265.8959537572254</v>
      </c>
      <c r="E854" t="s">
        <v>17</v>
      </c>
    </row>
    <row r="855" ht="12.75">
      <c r="G855" t="s">
        <v>76</v>
      </c>
    </row>
    <row r="857" spans="5:6" ht="12.75">
      <c r="E857" t="s">
        <v>297</v>
      </c>
      <c r="F857" t="s">
        <v>370</v>
      </c>
    </row>
    <row r="859" spans="4:7" ht="12.75">
      <c r="D859" t="s">
        <v>74</v>
      </c>
      <c r="G859" s="8" t="s">
        <v>17</v>
      </c>
    </row>
    <row r="863" ht="12.75">
      <c r="B863" t="s">
        <v>510</v>
      </c>
    </row>
    <row r="864" ht="12.75">
      <c r="B864" s="21" t="s">
        <v>294</v>
      </c>
    </row>
    <row r="865" ht="12.75">
      <c r="B865" s="21" t="s">
        <v>293</v>
      </c>
    </row>
    <row r="866" ht="12.75">
      <c r="B866" s="21" t="s">
        <v>507</v>
      </c>
    </row>
    <row r="867" spans="2:4" ht="12.75">
      <c r="B867" s="22" t="s">
        <v>511</v>
      </c>
      <c r="C867" s="22"/>
      <c r="D867" s="22"/>
    </row>
    <row r="868" ht="12.75">
      <c r="B868" t="s">
        <v>512</v>
      </c>
    </row>
    <row r="869" ht="12.75">
      <c r="C869" s="22"/>
    </row>
    <row r="870" spans="2:7" ht="12.75">
      <c r="B870" t="s">
        <v>513</v>
      </c>
      <c r="D870" s="22"/>
      <c r="F870" t="s">
        <v>533</v>
      </c>
      <c r="G870" t="s">
        <v>514</v>
      </c>
    </row>
    <row r="871" spans="1:7" ht="12.75">
      <c r="B871" t="s">
        <v>515</v>
      </c>
      <c r="F871" t="s">
        <v>533</v>
      </c>
      <c r="G871" t="s">
        <v>516</v>
      </c>
    </row>
    <row r="873" ht="12.75">
      <c r="B873" t="s">
        <v>517</v>
      </c>
    </row>
    <row r="875" ht="12.75">
      <c r="B875" t="s">
        <v>518</v>
      </c>
    </row>
    <row r="877" ht="12.75">
      <c r="B877" t="s">
        <v>519</v>
      </c>
    </row>
    <row r="879" ht="12.75">
      <c r="B879" t="s">
        <v>520</v>
      </c>
    </row>
    <row r="881" spans="2:4" ht="12.75">
      <c r="B881" t="s">
        <v>521</v>
      </c>
      <c r="D881">
        <f>D847*D847+D848*D848</f>
        <v>65</v>
      </c>
    </row>
    <row r="882" spans="2:4" ht="12.75">
      <c r="B882" t="s">
        <v>522</v>
      </c>
      <c r="D882">
        <f>2*D846*D848</f>
        <v>3680</v>
      </c>
    </row>
    <row r="883" ht="12.75">
      <c r="B883" t="s">
        <v>523</v>
      </c>
    </row>
    <row r="884" ht="12.75">
      <c r="D884" s="32">
        <f>D846*D846-(2*D847*D851/3)+(D847*D847*D851*D851/(9*D846*D846))+(D848*D848*D851*D851/(9*D846*D846))-D854*D854</f>
        <v>-18387.85314149879</v>
      </c>
    </row>
    <row r="885" ht="12.75">
      <c r="D885" s="28"/>
    </row>
    <row r="886" spans="2:4" ht="12.75">
      <c r="B886" t="s">
        <v>524</v>
      </c>
      <c r="D886" s="28"/>
    </row>
    <row r="887" ht="12.75">
      <c r="D887" s="28"/>
    </row>
    <row r="888" spans="2:4" ht="12.75">
      <c r="B888" t="s">
        <v>526</v>
      </c>
      <c r="D888" s="28"/>
    </row>
    <row r="889" spans="2:4" ht="12.75">
      <c r="B889" t="s">
        <v>527</v>
      </c>
      <c r="D889" s="28">
        <f>(-D882+SQRT(D882*D882-4*D881*D884))/(2*D881)</f>
        <v>4.619735349471151</v>
      </c>
    </row>
    <row r="890" spans="2:4" ht="12.75">
      <c r="B890" t="s">
        <v>528</v>
      </c>
      <c r="D890" s="32">
        <v>5.41</v>
      </c>
    </row>
    <row r="891" spans="2:6" ht="12.75">
      <c r="B891" t="s">
        <v>530</v>
      </c>
      <c r="D891" s="28">
        <f>SQRT(D889*D889+D890*D890)</f>
        <v>7.114074409166195</v>
      </c>
      <c r="F891" s="26" t="s">
        <v>14</v>
      </c>
    </row>
    <row r="892" spans="2:6" ht="12.75">
      <c r="B892" t="s">
        <v>531</v>
      </c>
      <c r="C892" s="23" t="s">
        <v>532</v>
      </c>
      <c r="D892" s="28">
        <f>D890/D891</f>
        <v>0.7604643540176408</v>
      </c>
      <c r="E892" t="s">
        <v>129</v>
      </c>
      <c r="F892" s="26" t="s">
        <v>14</v>
      </c>
    </row>
    <row r="893" ht="13.5" thickBot="1"/>
    <row r="894" ht="13.5" thickBot="1">
      <c r="E894" s="25" t="s">
        <v>304</v>
      </c>
    </row>
    <row r="895" spans="1:2" ht="12.75">
      <c r="A895" s="21" t="s">
        <v>627</v>
      </c>
      <c r="B895" s="21" t="s">
        <v>535</v>
      </c>
    </row>
    <row r="896" ht="12.75">
      <c r="B896" s="47" t="s">
        <v>536</v>
      </c>
    </row>
    <row r="897" ht="12.75">
      <c r="B897" s="47" t="s">
        <v>761</v>
      </c>
    </row>
    <row r="898" ht="12.75">
      <c r="B898" s="47" t="s">
        <v>756</v>
      </c>
    </row>
    <row r="899" ht="12.75">
      <c r="B899" s="47" t="s">
        <v>537</v>
      </c>
    </row>
    <row r="900" ht="12.75">
      <c r="B900" s="47" t="s">
        <v>538</v>
      </c>
    </row>
    <row r="901" ht="12.75">
      <c r="B901" s="47" t="s">
        <v>723</v>
      </c>
    </row>
    <row r="902" ht="12.75">
      <c r="B902" s="47" t="s">
        <v>539</v>
      </c>
    </row>
    <row r="904" spans="1:2" ht="12.75">
      <c r="A904" t="s">
        <v>12</v>
      </c>
      <c r="B904" s="21" t="s">
        <v>556</v>
      </c>
    </row>
    <row r="905" spans="2:4" ht="12.75">
      <c r="B905" t="s">
        <v>158</v>
      </c>
      <c r="C905" t="s">
        <v>300</v>
      </c>
      <c r="D905">
        <f>5000/3</f>
        <v>1666.6666666666667</v>
      </c>
    </row>
    <row r="906" spans="2:4" ht="12.75">
      <c r="B906" t="s">
        <v>17</v>
      </c>
      <c r="C906" t="s">
        <v>540</v>
      </c>
      <c r="D906">
        <f>6600/1.73</f>
        <v>3815.0289017341042</v>
      </c>
    </row>
    <row r="907" spans="2:4" ht="12.75">
      <c r="B907" t="s">
        <v>550</v>
      </c>
      <c r="D907" s="23" t="s">
        <v>541</v>
      </c>
    </row>
    <row r="908" spans="4:5" ht="12.75">
      <c r="D908" s="23">
        <f>905:905*1000/906:906</f>
        <v>436.8686868686869</v>
      </c>
      <c r="E908" t="s">
        <v>18</v>
      </c>
    </row>
    <row r="909" spans="2:5" ht="12.75">
      <c r="B909" s="22" t="s">
        <v>544</v>
      </c>
      <c r="D909">
        <v>30</v>
      </c>
      <c r="E909" t="s">
        <v>344</v>
      </c>
    </row>
    <row r="910" spans="2:5" ht="12.75">
      <c r="B910" s="4" t="s">
        <v>217</v>
      </c>
      <c r="D910">
        <f>30*3.14/180</f>
        <v>0.5233333333333333</v>
      </c>
      <c r="E910" t="s">
        <v>372</v>
      </c>
    </row>
    <row r="911" spans="2:4" ht="12.75">
      <c r="B911" t="s">
        <v>546</v>
      </c>
      <c r="D911">
        <f>SIN((D910))</f>
        <v>0.4997701026431024</v>
      </c>
    </row>
    <row r="912" spans="2:5" ht="12.75">
      <c r="B912" t="s">
        <v>327</v>
      </c>
      <c r="D912">
        <v>8.7</v>
      </c>
      <c r="E912" t="s">
        <v>20</v>
      </c>
    </row>
    <row r="913" spans="2:5" ht="12.75">
      <c r="B913" t="s">
        <v>328</v>
      </c>
      <c r="D913">
        <v>4.35</v>
      </c>
      <c r="E913" t="s">
        <v>20</v>
      </c>
    </row>
    <row r="914" spans="2:5" ht="12.75">
      <c r="B914" t="s">
        <v>542</v>
      </c>
      <c r="C914" t="s">
        <v>543</v>
      </c>
      <c r="D914">
        <f>1100/1.73</f>
        <v>635.8381502890173</v>
      </c>
      <c r="E914" t="s">
        <v>13</v>
      </c>
    </row>
    <row r="915" spans="2:4" ht="12.75">
      <c r="B915" t="s">
        <v>316</v>
      </c>
      <c r="D915" s="23" t="s">
        <v>545</v>
      </c>
    </row>
    <row r="916" spans="4:5" ht="12.75">
      <c r="D916" s="23">
        <f>D906*D911/D913</f>
        <v>438.3074450128864</v>
      </c>
      <c r="E916" t="s">
        <v>18</v>
      </c>
    </row>
    <row r="917" spans="2:4" ht="12.75">
      <c r="B917" t="s">
        <v>315</v>
      </c>
      <c r="D917" s="40" t="s">
        <v>547</v>
      </c>
    </row>
    <row r="918" ht="12.75">
      <c r="D918" s="40">
        <f>(D914-D906*COS(D910))/D912</f>
        <v>-306.7333348665242</v>
      </c>
    </row>
    <row r="919" spans="2:4" ht="12.75">
      <c r="B919" t="s">
        <v>76</v>
      </c>
      <c r="D919" s="23" t="s">
        <v>548</v>
      </c>
    </row>
    <row r="920" spans="4:5" ht="12.75">
      <c r="D920">
        <f>SQRT(D916*D916+D918*D918)</f>
        <v>534.9754714676774</v>
      </c>
      <c r="E920" t="s">
        <v>18</v>
      </c>
    </row>
    <row r="921" spans="2:4" ht="12.75">
      <c r="B921" t="s">
        <v>549</v>
      </c>
      <c r="D921" s="23" t="s">
        <v>551</v>
      </c>
    </row>
    <row r="922" spans="4:6" ht="12.75">
      <c r="D922">
        <f>D920/D908</f>
        <v>1.2245681312208105</v>
      </c>
      <c r="E922" t="s">
        <v>388</v>
      </c>
      <c r="F922" s="26" t="s">
        <v>14</v>
      </c>
    </row>
    <row r="924" ht="12.75">
      <c r="B924" t="s">
        <v>552</v>
      </c>
    </row>
    <row r="926" spans="2:4" ht="12.75">
      <c r="B926" t="s">
        <v>561</v>
      </c>
      <c r="D926" s="23" t="s">
        <v>553</v>
      </c>
    </row>
    <row r="927" spans="4:6" ht="12.75">
      <c r="D927">
        <f>(D916*COS(D910)+(-D918)*SIN(D910))/D920</f>
        <v>0.996194629492639</v>
      </c>
      <c r="E927" t="s">
        <v>128</v>
      </c>
      <c r="F927" s="26" t="s">
        <v>14</v>
      </c>
    </row>
    <row r="929" spans="2:4" ht="12.75">
      <c r="B929" t="s">
        <v>508</v>
      </c>
      <c r="C929" t="s">
        <v>554</v>
      </c>
      <c r="D929" s="23" t="s">
        <v>555</v>
      </c>
    </row>
    <row r="930" spans="4:6" ht="12.75">
      <c r="D930">
        <f>1*D922*D927</f>
        <v>1.2199081957700086</v>
      </c>
      <c r="E930" t="s">
        <v>388</v>
      </c>
      <c r="F930" s="26" t="s">
        <v>14</v>
      </c>
    </row>
    <row r="931" ht="12.75">
      <c r="B931" s="21" t="s">
        <v>557</v>
      </c>
    </row>
    <row r="933" spans="2:4" ht="12.75">
      <c r="B933" t="s">
        <v>558</v>
      </c>
      <c r="D933" s="23" t="s">
        <v>559</v>
      </c>
    </row>
    <row r="935" ht="12.75">
      <c r="B935" t="s">
        <v>562</v>
      </c>
    </row>
    <row r="937" spans="2:4" ht="12.75">
      <c r="B937" t="s">
        <v>560</v>
      </c>
      <c r="D937" s="49" t="s">
        <v>762</v>
      </c>
    </row>
    <row r="938" spans="1:4" ht="12.75">
      <c r="D938" s="35"/>
    </row>
    <row r="939" spans="2:4" ht="12.75">
      <c r="B939" t="s">
        <v>563</v>
      </c>
      <c r="D939">
        <f>D914/(2*D906)</f>
        <v>0.08333333333333333</v>
      </c>
    </row>
    <row r="941" spans="2:4" ht="12.75">
      <c r="B941" t="s">
        <v>564</v>
      </c>
      <c r="D941">
        <f>D913/(D912-D913)</f>
        <v>1</v>
      </c>
    </row>
    <row r="942" ht="12.75">
      <c r="B942" t="s">
        <v>565</v>
      </c>
    </row>
    <row r="943" spans="2:4" ht="12.75">
      <c r="B943" t="s">
        <v>560</v>
      </c>
      <c r="D943">
        <f>-D939+SQRT(D939*D939/4)+0.5</f>
        <v>0.4583333333333333</v>
      </c>
    </row>
    <row r="944" spans="2:6" ht="12.75">
      <c r="B944" t="s">
        <v>566</v>
      </c>
      <c r="C944" t="s">
        <v>571</v>
      </c>
      <c r="D944">
        <f>(180/3.14)*ACOS(D943)</f>
        <v>62.75219995508218</v>
      </c>
      <c r="E944" t="s">
        <v>344</v>
      </c>
      <c r="F944" s="26" t="s">
        <v>14</v>
      </c>
    </row>
    <row r="945" spans="3:5" ht="12.75">
      <c r="C945" s="23" t="s">
        <v>299</v>
      </c>
      <c r="D945">
        <f>3.1416*D944/180</f>
        <v>1.0952350632160344</v>
      </c>
      <c r="E945" t="s">
        <v>59</v>
      </c>
    </row>
    <row r="946" spans="2:4" ht="12.75">
      <c r="B946" t="s">
        <v>573</v>
      </c>
      <c r="C946" s="23" t="s">
        <v>299</v>
      </c>
      <c r="D946">
        <f>3.1416*D944/180</f>
        <v>1.0952350632160344</v>
      </c>
    </row>
    <row r="947" spans="2:4" ht="12.75">
      <c r="B947" t="s">
        <v>567</v>
      </c>
      <c r="D947">
        <f>SIN(D945)</f>
        <v>0.8890358941519578</v>
      </c>
    </row>
    <row r="948" spans="2:4" ht="12.75">
      <c r="B948" t="s">
        <v>568</v>
      </c>
      <c r="D948">
        <f>SIN(2*D945)</f>
        <v>0.8140679472383051</v>
      </c>
    </row>
    <row r="949" ht="12.75">
      <c r="B949" s="21" t="s">
        <v>569</v>
      </c>
    </row>
    <row r="950" spans="2:4" ht="12.75">
      <c r="B950" t="s">
        <v>572</v>
      </c>
      <c r="D950" s="41" t="s">
        <v>574</v>
      </c>
    </row>
    <row r="951" ht="12.75">
      <c r="D951">
        <f>(D906*D914*D947/D912+(D906*D906/2)*D948*(D912-D913)/(D912*D913))</f>
        <v>928818.9128982078</v>
      </c>
    </row>
    <row r="952" spans="2:4" ht="12.75">
      <c r="B952" t="s">
        <v>575</v>
      </c>
      <c r="C952" t="s">
        <v>576</v>
      </c>
      <c r="D952">
        <f>(D906*D914*SIN(30*3.14/180)/D912)+(D906*D906/2)*SIN(60*3.14/180)*(D912-D913)/(D912*D913)</f>
        <v>863521.838824382</v>
      </c>
    </row>
    <row r="954" spans="2:6" ht="12.75">
      <c r="B954" t="s">
        <v>570</v>
      </c>
      <c r="D954">
        <f>D951/D952</f>
        <v>1.0756171658179747</v>
      </c>
      <c r="F954" s="26" t="s">
        <v>14</v>
      </c>
    </row>
    <row r="955" spans="2:4" ht="12.75">
      <c r="B955" t="s">
        <v>142</v>
      </c>
      <c r="C955" t="s">
        <v>581</v>
      </c>
      <c r="D955">
        <v>50</v>
      </c>
    </row>
    <row r="956" spans="2:4" ht="12.75">
      <c r="B956" t="s">
        <v>582</v>
      </c>
      <c r="C956" t="s">
        <v>583</v>
      </c>
      <c r="D956">
        <v>3</v>
      </c>
    </row>
    <row r="957" spans="2:5" ht="12.75">
      <c r="B957" t="s">
        <v>591</v>
      </c>
      <c r="C957" s="23" t="s">
        <v>592</v>
      </c>
      <c r="D957">
        <f>955:955/956:956</f>
        <v>16.666666666666668</v>
      </c>
      <c r="E957" t="s">
        <v>584</v>
      </c>
    </row>
    <row r="958" spans="2:5" ht="12.75">
      <c r="B958" t="s">
        <v>585</v>
      </c>
      <c r="C958" s="23" t="s">
        <v>586</v>
      </c>
      <c r="D958" s="23">
        <f>2*3.14*D957</f>
        <v>104.66666666666667</v>
      </c>
      <c r="E958" t="s">
        <v>593</v>
      </c>
    </row>
    <row r="959" ht="12.75">
      <c r="B959" s="21" t="s">
        <v>577</v>
      </c>
    </row>
    <row r="960" spans="2:4" ht="12.75">
      <c r="B960" t="s">
        <v>578</v>
      </c>
      <c r="C960" s="23" t="s">
        <v>299</v>
      </c>
      <c r="D960" s="22" t="s">
        <v>588</v>
      </c>
    </row>
    <row r="961" spans="2:5" ht="12.75">
      <c r="B961" t="s">
        <v>579</v>
      </c>
      <c r="C961" s="23" t="s">
        <v>299</v>
      </c>
      <c r="D961" s="23">
        <f>((D906*D914*COS(30*3.14/180)/D912)+(D906*D906*(D912-D913)/(D912*D913))*COS(60*3.14/180))/D958</f>
        <v>10306.37866472913</v>
      </c>
      <c r="E961" t="s">
        <v>300</v>
      </c>
    </row>
    <row r="962" spans="2:5" ht="12.75">
      <c r="B962" t="s">
        <v>580</v>
      </c>
      <c r="D962">
        <f>3*D961</f>
        <v>30919.135994187392</v>
      </c>
      <c r="E962" t="s">
        <v>587</v>
      </c>
    </row>
    <row r="963" spans="4:5" ht="12.75">
      <c r="D963" s="23" t="s">
        <v>589</v>
      </c>
      <c r="E963" t="s">
        <v>590</v>
      </c>
    </row>
    <row r="964" spans="3:8" ht="12.75">
      <c r="C964" s="23"/>
      <c r="D964" s="23">
        <f>30919.1359*956:956</f>
        <v>92757.40770000001</v>
      </c>
      <c r="E964" t="s">
        <v>590</v>
      </c>
      <c r="H964" s="26" t="s">
        <v>14</v>
      </c>
    </row>
    <row r="965" ht="13.5" thickBot="1"/>
    <row r="966" ht="13.5" thickBot="1">
      <c r="E966" s="25" t="s">
        <v>304</v>
      </c>
    </row>
    <row r="968" spans="1:6" ht="12.75">
      <c r="A968" s="21" t="s">
        <v>648</v>
      </c>
      <c r="B968" s="21" t="s">
        <v>649</v>
      </c>
      <c r="F968" s="2"/>
    </row>
    <row r="969" ht="12.75">
      <c r="B969" s="47" t="s">
        <v>651</v>
      </c>
    </row>
    <row r="970" ht="12.75">
      <c r="B970" s="47" t="s">
        <v>652</v>
      </c>
    </row>
    <row r="971" ht="12.75">
      <c r="B971" s="47" t="s">
        <v>716</v>
      </c>
    </row>
    <row r="972" ht="12.75">
      <c r="B972" s="47" t="s">
        <v>653</v>
      </c>
    </row>
    <row r="973" ht="12.75">
      <c r="B973" s="47" t="s">
        <v>763</v>
      </c>
    </row>
    <row r="974" ht="12.75">
      <c r="B974" s="47" t="s">
        <v>757</v>
      </c>
    </row>
    <row r="975" ht="12.75">
      <c r="B975" s="47" t="s">
        <v>654</v>
      </c>
    </row>
    <row r="976" spans="3:7" ht="12.75">
      <c r="C976" s="8" t="s">
        <v>435</v>
      </c>
      <c r="D976" s="2" t="s">
        <v>655</v>
      </c>
      <c r="F976" t="s">
        <v>655</v>
      </c>
      <c r="G976" t="s">
        <v>436</v>
      </c>
    </row>
    <row r="977" ht="12.75">
      <c r="A977" s="21" t="s">
        <v>12</v>
      </c>
    </row>
    <row r="978" ht="12.75">
      <c r="E978" t="s">
        <v>76</v>
      </c>
    </row>
    <row r="980" spans="2:8" ht="12.75">
      <c r="B980" s="8" t="s">
        <v>24</v>
      </c>
      <c r="D980" s="8" t="s">
        <v>17</v>
      </c>
      <c r="E980" s="8" t="s">
        <v>213</v>
      </c>
      <c r="H980" t="s">
        <v>103</v>
      </c>
    </row>
    <row r="986" spans="2:6" ht="12.75">
      <c r="B986" s="21" t="s">
        <v>656</v>
      </c>
      <c r="D986" s="21" t="s">
        <v>657</v>
      </c>
      <c r="F986" s="21" t="s">
        <v>658</v>
      </c>
    </row>
    <row r="988" ht="12.75">
      <c r="B988" s="21" t="s">
        <v>660</v>
      </c>
    </row>
    <row r="990" spans="2:4" ht="12.75">
      <c r="B990" s="21" t="s">
        <v>659</v>
      </c>
      <c r="D990" t="s">
        <v>661</v>
      </c>
    </row>
    <row r="992" ht="12.75">
      <c r="B992" s="21" t="s">
        <v>662</v>
      </c>
    </row>
    <row r="994" ht="12.75">
      <c r="B994" s="21" t="s">
        <v>663</v>
      </c>
    </row>
    <row r="996" ht="12.75">
      <c r="F996" t="s">
        <v>664</v>
      </c>
    </row>
    <row r="997" ht="12.75">
      <c r="B997" t="s">
        <v>665</v>
      </c>
    </row>
    <row r="998" ht="12.75">
      <c r="B998" s="21" t="s">
        <v>666</v>
      </c>
    </row>
    <row r="1000" spans="2:5" ht="12.75">
      <c r="B1000" t="s">
        <v>508</v>
      </c>
      <c r="C1000" t="s">
        <v>213</v>
      </c>
      <c r="D1000">
        <v>25</v>
      </c>
      <c r="E1000" t="s">
        <v>603</v>
      </c>
    </row>
    <row r="1001" spans="2:5" ht="12.75">
      <c r="B1001" t="s">
        <v>17</v>
      </c>
      <c r="C1001" t="s">
        <v>509</v>
      </c>
      <c r="D1001">
        <v>11</v>
      </c>
      <c r="E1001" t="s">
        <v>604</v>
      </c>
    </row>
    <row r="1002" spans="2:5" ht="12.75">
      <c r="B1002" t="s">
        <v>437</v>
      </c>
      <c r="D1002">
        <v>0.8</v>
      </c>
      <c r="E1002" t="s">
        <v>128</v>
      </c>
    </row>
    <row r="1003" spans="2:5" ht="12.75">
      <c r="B1003" t="s">
        <v>76</v>
      </c>
      <c r="D1003">
        <f>D1000*1000/(1.73*D1001*D1002)</f>
        <v>1642.1439831844455</v>
      </c>
      <c r="E1003" t="s">
        <v>18</v>
      </c>
    </row>
    <row r="1004" spans="2:5" ht="12.75">
      <c r="B1004" t="s">
        <v>435</v>
      </c>
      <c r="D1004">
        <f>D1003/2</f>
        <v>821.0719915922227</v>
      </c>
      <c r="E1004" t="s">
        <v>18</v>
      </c>
    </row>
    <row r="1005" spans="2:5" ht="12.75">
      <c r="B1005" t="s">
        <v>436</v>
      </c>
      <c r="D1005">
        <f>D1003/2</f>
        <v>821.0719915922227</v>
      </c>
      <c r="E1005" t="s">
        <v>18</v>
      </c>
    </row>
    <row r="1006" spans="2:5" ht="12.75">
      <c r="B1006" t="s">
        <v>602</v>
      </c>
      <c r="C1006" t="s">
        <v>667</v>
      </c>
      <c r="D1006">
        <v>16.66</v>
      </c>
      <c r="E1006" t="s">
        <v>668</v>
      </c>
    </row>
    <row r="1007" spans="2:5" ht="12.75">
      <c r="B1007" t="s">
        <v>369</v>
      </c>
      <c r="C1007" t="s">
        <v>667</v>
      </c>
      <c r="D1007">
        <v>11</v>
      </c>
      <c r="E1007" t="s">
        <v>604</v>
      </c>
    </row>
    <row r="1008" spans="2:5" ht="12.75">
      <c r="B1008" t="s">
        <v>669</v>
      </c>
      <c r="C1008" t="s">
        <v>667</v>
      </c>
      <c r="D1008">
        <f>(D1006*1000)/(1.73*D1007)</f>
        <v>875.4598003152915</v>
      </c>
      <c r="E1008" t="s">
        <v>18</v>
      </c>
    </row>
    <row r="1009" spans="2:4" ht="12.75">
      <c r="B1009" t="s">
        <v>670</v>
      </c>
      <c r="D1009">
        <f>D1004/D1008</f>
        <v>0.937875150060024</v>
      </c>
    </row>
    <row r="1010" spans="2:4" ht="12.75">
      <c r="B1010" t="s">
        <v>671</v>
      </c>
      <c r="D1010">
        <f>D1005/D1008</f>
        <v>0.937875150060024</v>
      </c>
    </row>
    <row r="1011" spans="1:4" ht="12.75">
      <c r="B1011" t="s">
        <v>672</v>
      </c>
      <c r="D1011">
        <v>1</v>
      </c>
    </row>
    <row r="1012" ht="12.75">
      <c r="B1012" s="21" t="s">
        <v>673</v>
      </c>
    </row>
    <row r="1013" spans="2:5" ht="12.75">
      <c r="B1013" t="s">
        <v>298</v>
      </c>
      <c r="D1013">
        <v>1.08</v>
      </c>
      <c r="E1013" t="s">
        <v>388</v>
      </c>
    </row>
    <row r="1014" spans="2:3" ht="12.75">
      <c r="B1014" t="s">
        <v>675</v>
      </c>
      <c r="C1014" s="23" t="s">
        <v>674</v>
      </c>
    </row>
    <row r="1015" spans="3:4" ht="12.75">
      <c r="C1015" s="23" t="s">
        <v>299</v>
      </c>
      <c r="D1015">
        <f>D1011+D1009*SIN(ACOS(D1002))*D1013</f>
        <v>1.6077430972388953</v>
      </c>
    </row>
    <row r="1016" spans="1:4" ht="12.75">
      <c r="A1016" t="s">
        <v>676</v>
      </c>
      <c r="B1016" s="23" t="s">
        <v>679</v>
      </c>
      <c r="D1016">
        <f>D1009*D1002*D1013</f>
        <v>0.8103241296518608</v>
      </c>
    </row>
    <row r="1017" spans="2:5" ht="12.75">
      <c r="B1017" s="21" t="s">
        <v>677</v>
      </c>
      <c r="D1017">
        <f>SQRT(D1015*D1015+D1016*D1016)</f>
        <v>1.800406360190766</v>
      </c>
      <c r="E1017" t="s">
        <v>388</v>
      </c>
    </row>
    <row r="1018" spans="2:5" ht="12.75">
      <c r="B1018" t="s">
        <v>678</v>
      </c>
      <c r="D1018">
        <f>180*ATAN(D1016/D1015)/3.1416</f>
        <v>26.748655697320302</v>
      </c>
      <c r="E1018" t="s">
        <v>344</v>
      </c>
    </row>
    <row r="1019" spans="2:5" ht="12.75">
      <c r="B1019" s="4" t="s">
        <v>217</v>
      </c>
      <c r="D1019">
        <f>D1018</f>
        <v>26.748655697320302</v>
      </c>
      <c r="E1019" t="s">
        <v>344</v>
      </c>
    </row>
    <row r="1020" ht="12.75">
      <c r="B1020" s="21" t="s">
        <v>442</v>
      </c>
    </row>
    <row r="1022" ht="12.75">
      <c r="F1022" s="2" t="s">
        <v>686</v>
      </c>
    </row>
    <row r="1024" ht="12.75">
      <c r="F1024" s="8" t="s">
        <v>681</v>
      </c>
    </row>
    <row r="1025" ht="12.75">
      <c r="D1025" s="11" t="s">
        <v>217</v>
      </c>
    </row>
    <row r="1026" spans="4:5" ht="12.75">
      <c r="D1026" s="9" t="s">
        <v>142</v>
      </c>
      <c r="E1026" s="2" t="s">
        <v>17</v>
      </c>
    </row>
    <row r="1029" ht="12.75">
      <c r="D1029" s="2" t="s">
        <v>680</v>
      </c>
    </row>
    <row r="1031" ht="12.75">
      <c r="B1031" t="s">
        <v>717</v>
      </c>
    </row>
    <row r="1032" ht="12.75">
      <c r="B1032" t="s">
        <v>682</v>
      </c>
    </row>
    <row r="1033" spans="2:4" ht="12.75">
      <c r="B1033" s="21" t="s">
        <v>683</v>
      </c>
      <c r="C1033" s="21"/>
      <c r="D1033" s="21"/>
    </row>
    <row r="1034" ht="12.75">
      <c r="B1034" t="s">
        <v>685</v>
      </c>
    </row>
    <row r="1035" ht="12.75">
      <c r="B1035" t="s">
        <v>684</v>
      </c>
    </row>
    <row r="1037" ht="12.75">
      <c r="F1037" s="2" t="s">
        <v>686</v>
      </c>
    </row>
    <row r="1038" spans="3:7" ht="12.75">
      <c r="C1038" s="8" t="s">
        <v>687</v>
      </c>
      <c r="D1038" s="8" t="s">
        <v>690</v>
      </c>
      <c r="E1038" s="42" t="s">
        <v>689</v>
      </c>
      <c r="G1038" s="2" t="s">
        <v>688</v>
      </c>
    </row>
    <row r="1039" spans="6:7" ht="12.75">
      <c r="F1039" s="8" t="s">
        <v>681</v>
      </c>
      <c r="G1039" s="2" t="s">
        <v>691</v>
      </c>
    </row>
    <row r="1040" ht="12.75">
      <c r="D1040" s="11" t="s">
        <v>217</v>
      </c>
    </row>
    <row r="1041" spans="4:5" ht="12.75">
      <c r="D1041" s="9" t="s">
        <v>142</v>
      </c>
      <c r="E1041" s="2" t="s">
        <v>17</v>
      </c>
    </row>
    <row r="1042" ht="12.75">
      <c r="D1042" s="8" t="s">
        <v>692</v>
      </c>
    </row>
    <row r="1043" ht="12.75">
      <c r="C1043" s="8" t="s">
        <v>687</v>
      </c>
    </row>
    <row r="1044" ht="12.75">
      <c r="D1044" s="2" t="s">
        <v>680</v>
      </c>
    </row>
    <row r="1047" ht="12.75">
      <c r="D1047" s="2" t="s">
        <v>693</v>
      </c>
    </row>
    <row r="1049" ht="12.75">
      <c r="B1049" t="s">
        <v>694</v>
      </c>
    </row>
    <row r="1050" ht="12.75">
      <c r="B1050" t="s">
        <v>695</v>
      </c>
    </row>
    <row r="1051" ht="12.75">
      <c r="B1051" t="s">
        <v>696</v>
      </c>
    </row>
    <row r="1052" spans="2:5" ht="12.75">
      <c r="B1052" t="s">
        <v>697</v>
      </c>
      <c r="C1052" s="23" t="s">
        <v>698</v>
      </c>
      <c r="E1052">
        <f>0.85*D1017</f>
        <v>1.530345406162151</v>
      </c>
    </row>
    <row r="1054" ht="12.75">
      <c r="B1054" t="s">
        <v>718</v>
      </c>
    </row>
    <row r="1055" ht="12.75">
      <c r="B1055" t="s">
        <v>699</v>
      </c>
    </row>
    <row r="1056" spans="2:5" ht="12.75">
      <c r="B1056" t="s">
        <v>701</v>
      </c>
      <c r="E1056">
        <f>D1015</f>
        <v>1.6077430972388953</v>
      </c>
    </row>
    <row r="1057" spans="2:5" ht="12.75">
      <c r="B1057" t="s">
        <v>700</v>
      </c>
      <c r="E1057">
        <f>E1056*E1056</f>
        <v>2.584837866719316</v>
      </c>
    </row>
    <row r="1058" spans="2:5" ht="12.75">
      <c r="B1058" t="s">
        <v>702</v>
      </c>
      <c r="E1058">
        <f>D1016*D1016</f>
        <v>0.6566251950960458</v>
      </c>
    </row>
    <row r="1059" spans="2:5" ht="12.75">
      <c r="B1059" t="s">
        <v>704</v>
      </c>
      <c r="E1059">
        <f>E1057+E1058</f>
        <v>3.241463061815362</v>
      </c>
    </row>
    <row r="1060" spans="2:5" ht="12.75">
      <c r="B1060" t="s">
        <v>705</v>
      </c>
      <c r="E1060">
        <f>2*E1056*D1013</f>
        <v>3.4727250900360143</v>
      </c>
    </row>
    <row r="1061" spans="2:5" ht="12.75">
      <c r="B1061" t="s">
        <v>719</v>
      </c>
      <c r="E1061">
        <f>D1013*D1013</f>
        <v>1.1664</v>
      </c>
    </row>
    <row r="1062" ht="12.75">
      <c r="B1062" t="s">
        <v>191</v>
      </c>
    </row>
    <row r="1063" spans="2:5" ht="12.75">
      <c r="B1063" t="s">
        <v>764</v>
      </c>
      <c r="E1063">
        <f>E1052*E1052</f>
        <v>2.3419570621615993</v>
      </c>
    </row>
    <row r="1064" ht="12.75">
      <c r="B1064" t="s">
        <v>709</v>
      </c>
    </row>
    <row r="1066" spans="2:5" ht="12.75">
      <c r="B1066" t="s">
        <v>706</v>
      </c>
      <c r="E1066">
        <f>E1061</f>
        <v>1.1664</v>
      </c>
    </row>
    <row r="1067" spans="2:5" ht="12.75">
      <c r="B1067" t="s">
        <v>707</v>
      </c>
      <c r="E1067">
        <f>-E1059</f>
        <v>-3.241463061815362</v>
      </c>
    </row>
    <row r="1068" spans="2:5" ht="12.75">
      <c r="B1068" t="s">
        <v>708</v>
      </c>
      <c r="E1068">
        <f>E1059-E1063</f>
        <v>0.8995059996537629</v>
      </c>
    </row>
    <row r="1069" ht="12.75">
      <c r="B1069" t="s">
        <v>526</v>
      </c>
    </row>
    <row r="1070" spans="2:5" ht="12.75">
      <c r="B1070" t="s">
        <v>703</v>
      </c>
      <c r="E1070">
        <f>(-E1067+SQRT(E1067*E1067-4*E1066*E1068))/(2*E1066)</f>
        <v>2.466350987998271</v>
      </c>
    </row>
    <row r="1072" ht="12.75">
      <c r="B1072" s="21" t="s">
        <v>710</v>
      </c>
    </row>
    <row r="1073" spans="2:5" ht="12.75">
      <c r="B1073" t="s">
        <v>711</v>
      </c>
      <c r="E1073" s="23" t="s">
        <v>712</v>
      </c>
    </row>
    <row r="1074" ht="12.75">
      <c r="E1074">
        <f>E1056-2*E1070*D1013</f>
        <v>-3.7195750368373703</v>
      </c>
    </row>
    <row r="1075" spans="2:5" ht="12.75">
      <c r="B1075" t="s">
        <v>713</v>
      </c>
      <c r="E1075" s="23" t="s">
        <v>714</v>
      </c>
    </row>
    <row r="1076" ht="12.75">
      <c r="E1076">
        <f>D1016</f>
        <v>0.8103241296518608</v>
      </c>
    </row>
    <row r="1077" spans="2:7" ht="12.75">
      <c r="B1077" t="s">
        <v>715</v>
      </c>
      <c r="E1077">
        <f>SQRT(E1074*E1074+E1076*E1076)</f>
        <v>3.8068180478924614</v>
      </c>
      <c r="F1077" t="s">
        <v>388</v>
      </c>
      <c r="G1077" s="43" t="s">
        <v>14</v>
      </c>
    </row>
    <row r="1078" ht="13.5" thickBot="1"/>
    <row r="1079" ht="13.5" thickBot="1">
      <c r="E1079" s="25" t="s">
        <v>304</v>
      </c>
    </row>
  </sheetData>
  <sheetProtection/>
  <hyperlinks>
    <hyperlink ref="F18" r:id="rId1" display="CHAPTER0.xls#A1"/>
    <hyperlink ref="E49" location="A7" display="A7"/>
    <hyperlink ref="E70" location="A7" display="A7"/>
    <hyperlink ref="E102" location="A7" display="A7"/>
    <hyperlink ref="E132" location="A7" display="A7"/>
    <hyperlink ref="E173" location="A7" display="A7"/>
    <hyperlink ref="E202" location="A7" display="A7"/>
    <hyperlink ref="E243" location="A7" display="A7"/>
    <hyperlink ref="E268" location="A7" display="A7"/>
    <hyperlink ref="E307" location="A7" display="A7"/>
    <hyperlink ref="E358" location="A7" display="A7"/>
    <hyperlink ref="E409" location="A7" display="A7"/>
    <hyperlink ref="E444" location="A7" display="A7"/>
    <hyperlink ref="E534" location="A7" display="A7"/>
    <hyperlink ref="E591" location="A7" display="A7"/>
    <hyperlink ref="E659" location="A7" display="A7"/>
    <hyperlink ref="F5" location="a50" display="a50"/>
    <hyperlink ref="A51" location="a64" display="a64"/>
    <hyperlink ref="F6" location="a64" display="a64"/>
    <hyperlink ref="F7" location="a84" display="a84"/>
    <hyperlink ref="F8" location="a116" display="a116"/>
    <hyperlink ref="F9" location="a146" display="a146"/>
    <hyperlink ref="F10" location="a187" display="a187"/>
    <hyperlink ref="F11" location="a216" display="a216"/>
    <hyperlink ref="F12" location="a257" display="a257"/>
    <hyperlink ref="F13" location="a282" display="a282"/>
    <hyperlink ref="F14" location="a321" display="a321"/>
    <hyperlink ref="F15" location="a372" display="a372"/>
    <hyperlink ref="F16" location="a423" display="a423"/>
    <hyperlink ref="E704" location="A7" display="A7"/>
    <hyperlink ref="E764" location="A7" display="A7"/>
    <hyperlink ref="E827" location="A7" display="A7"/>
    <hyperlink ref="E894" location="A7" display="A7"/>
    <hyperlink ref="E966" location="A7" display="A7"/>
    <hyperlink ref="F17" location="a455" display="a455"/>
    <hyperlink ref="E481" location="A7" display="A7"/>
    <hyperlink ref="F19" location="a526" display="a526"/>
    <hyperlink ref="F20" location="a578" display="a578"/>
    <hyperlink ref="F21" location="a635" display="a635"/>
    <hyperlink ref="F23" location="a703" display="a703"/>
    <hyperlink ref="A7" location="a750" display="a750"/>
    <hyperlink ref="F24" location="a750" display="a750"/>
    <hyperlink ref="F25" location="a808" display="a808"/>
    <hyperlink ref="F26" location="a871" display="a871"/>
    <hyperlink ref="F27" location="a938" display="a938"/>
    <hyperlink ref="F28" location="a1011" display="a1011"/>
    <hyperlink ref="E1079" location="A7" display="A7"/>
    <hyperlink ref="A31" r:id="rId2" display="WEBSITE"/>
  </hyperlinks>
  <printOptions gridLines="1"/>
  <pageMargins left="0.75" right="0.75" top="1" bottom="1" header="0.5" footer="0.5"/>
  <pageSetup horizontalDpi="300" verticalDpi="300" orientation="portrait" r:id="rId4"/>
  <headerFooter alignWithMargins="0">
    <oddHeader>&amp;C&amp;A</oddHeader>
    <oddFooter>&amp;CPage &amp;P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Internet.xls</dc:title>
  <dc:subject>Problem Solver -machines &amp; power Systems</dc:subject>
  <dc:creator>Authorised User</dc:creator>
  <cp:keywords/>
  <dc:description/>
  <cp:lastModifiedBy>C.S Indulkar</cp:lastModifiedBy>
  <cp:lastPrinted>1999-07-24T03:52:44Z</cp:lastPrinted>
  <dcterms:created xsi:type="dcterms:W3CDTF">1999-01-25T22:59:59Z</dcterms:created>
  <dcterms:modified xsi:type="dcterms:W3CDTF">2012-11-24T11:08:46Z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