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36" yWindow="300" windowWidth="7440" windowHeight="451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{"'Sheet1'!$A$1:$J$390"}</definedName>
    <definedName name="HTML_Description" hidden="1">""</definedName>
    <definedName name="HTML_Email" hidden="1">""</definedName>
    <definedName name="HTML_Header" hidden="1">"Sheet1"</definedName>
    <definedName name="HTML_LastUpdate" hidden="1">"7/20/99"</definedName>
    <definedName name="HTML_LineAfter" hidden="1">FALSE</definedName>
    <definedName name="HTML_LineBefore" hidden="1">FALSE</definedName>
    <definedName name="HTML_Name" hidden="1">"C.S.Indulkar"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Documents\MyHTML1.htm"</definedName>
    <definedName name="HTML_Title" hidden="1">"CHAPTER1"</definedName>
  </definedNames>
  <calcPr fullCalcOnLoad="1"/>
</workbook>
</file>

<file path=xl/sharedStrings.xml><?xml version="1.0" encoding="utf-8"?>
<sst xmlns="http://schemas.openxmlformats.org/spreadsheetml/2006/main" count="618" uniqueCount="422">
  <si>
    <t>Problems</t>
  </si>
  <si>
    <t>Sub-topics</t>
  </si>
  <si>
    <t>d. c. generator- generator &amp; motor action</t>
  </si>
  <si>
    <t>d. c. shunt motor-Effects of flux &amp; torque on current and speed</t>
  </si>
  <si>
    <t>Prob.1.1</t>
  </si>
  <si>
    <t>DC generator-back emf</t>
  </si>
  <si>
    <t xml:space="preserve">When a dc generator is being driven at 1200 RPM, the generated emf is 125 V. What </t>
  </si>
  <si>
    <t>will be the generated emf if (a) the field flux is decreased by 10% with the speed</t>
  </si>
  <si>
    <t>remaining unchanged ,and (b)if the speed is reduced to 1100 RPM ,the field flux</t>
  </si>
  <si>
    <t>remaining unchanged ?</t>
  </si>
  <si>
    <t>Solution:</t>
  </si>
  <si>
    <t>(a)</t>
  </si>
  <si>
    <t>E1=</t>
  </si>
  <si>
    <t>F1=</t>
  </si>
  <si>
    <t>F1</t>
  </si>
  <si>
    <t>F2=</t>
  </si>
  <si>
    <t>.9*F1</t>
  </si>
  <si>
    <r>
      <t>E2=E1*</t>
    </r>
    <r>
      <rPr>
        <sz val="10"/>
        <rFont val="Symbol"/>
        <family val="1"/>
      </rPr>
      <t>F2/F1=0.9*E1</t>
    </r>
  </si>
  <si>
    <t>Volts</t>
  </si>
  <si>
    <t>Answer</t>
  </si>
  <si>
    <t>(b)</t>
  </si>
  <si>
    <t>N1=</t>
  </si>
  <si>
    <t>RPM</t>
  </si>
  <si>
    <t>N2=</t>
  </si>
  <si>
    <t>E2=E1*N2/N1=</t>
  </si>
  <si>
    <t xml:space="preserve">Volts </t>
  </si>
  <si>
    <t>Prob.1.2</t>
  </si>
  <si>
    <t>A shunt machine has armature and field resistances of 0.04 ohm and 100 ohms</t>
  </si>
  <si>
    <t xml:space="preserve">respectively. When connected to a460 V dc supply and driven as  a generator at 600 </t>
  </si>
  <si>
    <t>RPM, it delivers 50 kW. Calculate it speed when running as a motor and</t>
  </si>
  <si>
    <t>P1,Generator power =</t>
  </si>
  <si>
    <t>W</t>
  </si>
  <si>
    <t>V, terminal Voltage =</t>
  </si>
  <si>
    <t>V</t>
  </si>
  <si>
    <t>I, Generator line current=P1/V=</t>
  </si>
  <si>
    <t>A</t>
  </si>
  <si>
    <t>I, Motor line current</t>
  </si>
  <si>
    <t>If2=Motor field current = V/Rf = generator field current</t>
  </si>
  <si>
    <t>Ia1,Generator armature current=I+If2=</t>
  </si>
  <si>
    <t>Ra =</t>
  </si>
  <si>
    <t>ohm</t>
  </si>
  <si>
    <t>Rf =</t>
  </si>
  <si>
    <t>ohms</t>
  </si>
  <si>
    <t>E1=Generator back emf=V+Ia1Ra</t>
  </si>
  <si>
    <t>Ia2=Motor armature current=I-If2=</t>
  </si>
  <si>
    <t>E2,Motor back emf=V-Ia2Ra=</t>
  </si>
  <si>
    <t>Speed is proportional to back emf.</t>
  </si>
  <si>
    <t>N1,Generator speed =</t>
  </si>
  <si>
    <t>N2,Motor speed = N1(E2/E1)</t>
  </si>
  <si>
    <t>The direction of field flux remains the same when operating as  a motor or a generator.</t>
  </si>
  <si>
    <t>However, the direction of the armature current changes in the two modes of operation.</t>
  </si>
  <si>
    <t>Therefore, according to Fleming's Left hand Rule for motor operation and the Right-</t>
  </si>
  <si>
    <t>Hand Rule for the generator operation, the direction of rotation is unchanged.</t>
  </si>
  <si>
    <t>Prob.1.3</t>
  </si>
  <si>
    <t xml:space="preserve">A 240 V dc motor has an armature resistance of 0.68 ohm and draws a </t>
  </si>
  <si>
    <t xml:space="preserve">a full-load current of 24 A at a speed of 100 RPM .Calculate(a) the back emf (b) the </t>
  </si>
  <si>
    <t>output power developed, and(c) the torque developed.</t>
  </si>
  <si>
    <t>V=</t>
  </si>
  <si>
    <t>Ia =</t>
  </si>
  <si>
    <t>E, back-emf = V-IaRa =</t>
  </si>
  <si>
    <t>P, power developed = E*Ia</t>
  </si>
  <si>
    <t>Watts</t>
  </si>
  <si>
    <t xml:space="preserve">N, speed </t>
  </si>
  <si>
    <t>T,Torque=60*P/(2*3.1416*N)</t>
  </si>
  <si>
    <t>N-m</t>
  </si>
  <si>
    <t>Prob.1.4</t>
  </si>
  <si>
    <t xml:space="preserve">A shunt motor connected across a 440 V supply takes an armature current of 20 A and </t>
  </si>
  <si>
    <t>runs at 500 RPM. The armature resistance is 0.6 ohms. If the magnetic flux is reduced</t>
  </si>
  <si>
    <t>by 30 % and the torque developed by the armature increases by 40 % ,what are the</t>
  </si>
  <si>
    <t>values of the armature current and of the speed?</t>
  </si>
  <si>
    <t>Ia1=</t>
  </si>
  <si>
    <t>E1=V-Ia1*Ra</t>
  </si>
  <si>
    <t>0.7F1</t>
  </si>
  <si>
    <t>E2=new back emf</t>
  </si>
  <si>
    <r>
      <t>E2=E1*</t>
    </r>
    <r>
      <rPr>
        <sz val="10"/>
        <rFont val="Symbol"/>
        <family val="1"/>
      </rPr>
      <t>F2/F1=E1*0.7</t>
    </r>
  </si>
  <si>
    <t>T1,Original torque =</t>
  </si>
  <si>
    <t>T1</t>
  </si>
  <si>
    <t>T2,New torque =</t>
  </si>
  <si>
    <t>1.4T1</t>
  </si>
  <si>
    <t>Ia2=New current</t>
  </si>
  <si>
    <t>N1=original speed</t>
  </si>
  <si>
    <t>rpm</t>
  </si>
  <si>
    <t>E1,original back emf</t>
  </si>
  <si>
    <t>E1</t>
  </si>
  <si>
    <t>T, Torque is proportional to E*Ia/N. Therefore</t>
  </si>
  <si>
    <t>T2/T1= (E2/E1)(Ia2/Ia1)(N1/N2),or</t>
  </si>
  <si>
    <t>Ia2/N2=(T2/T1)(Ia1/N1)(E1/E2)</t>
  </si>
  <si>
    <t>Eq.1</t>
  </si>
  <si>
    <t>E2=V-Ia2Ra.Therefore,</t>
  </si>
  <si>
    <t>Ia2=(V-E2)/Ra =</t>
  </si>
  <si>
    <t>Amps</t>
  </si>
  <si>
    <r>
      <t xml:space="preserve">E is proportional to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and N. Therefore</t>
    </r>
  </si>
  <si>
    <r>
      <t>N2=N1(E2/E1)(</t>
    </r>
    <r>
      <rPr>
        <sz val="10"/>
        <rFont val="Symbol"/>
        <family val="1"/>
      </rPr>
      <t>F1/F2</t>
    </r>
    <r>
      <rPr>
        <sz val="10"/>
        <rFont val="Arial"/>
        <family val="0"/>
      </rPr>
      <t>)=N1((V-Ia2Ra)/E1)(</t>
    </r>
    <r>
      <rPr>
        <sz val="10"/>
        <rFont val="Symbol"/>
        <family val="1"/>
      </rPr>
      <t>F1/F2</t>
    </r>
    <r>
      <rPr>
        <sz val="10"/>
        <rFont val="Arial"/>
        <family val="0"/>
      </rPr>
      <t>)=</t>
    </r>
  </si>
  <si>
    <t>500((440-Ia2*.6)/428)*(1/0.7)</t>
  </si>
  <si>
    <t>or,</t>
  </si>
  <si>
    <t>(440-Ia2*0.6)/N2=</t>
  </si>
  <si>
    <t>Eq.2</t>
  </si>
  <si>
    <t>From equations 1 and 2,</t>
  </si>
  <si>
    <t>(440-Ia2*.6)/Ia2=</t>
  </si>
  <si>
    <t>Ia2=</t>
  </si>
  <si>
    <t>From Eq .1,</t>
  </si>
  <si>
    <t>Back to top of page</t>
  </si>
  <si>
    <t>D.C.Machine Problems</t>
  </si>
  <si>
    <t>with Solutions</t>
  </si>
  <si>
    <t>d. c. motor- output power &amp; torque</t>
  </si>
  <si>
    <t>CHAPTER1</t>
  </si>
  <si>
    <t>d.c.generator-long shunt compound</t>
  </si>
  <si>
    <t>Prob.1.5</t>
  </si>
  <si>
    <t>Load</t>
  </si>
  <si>
    <t>Series field</t>
  </si>
  <si>
    <t>Shunt field</t>
  </si>
  <si>
    <t>G</t>
  </si>
  <si>
    <t>IL</t>
  </si>
  <si>
    <t>Ish</t>
  </si>
  <si>
    <t>IL+Ish</t>
  </si>
  <si>
    <t>P</t>
  </si>
  <si>
    <t>Generator power=</t>
  </si>
  <si>
    <t>Generator voltage=</t>
  </si>
  <si>
    <t>Load current=P/V</t>
  </si>
  <si>
    <t>Rsh</t>
  </si>
  <si>
    <t>Shunt field resistance=</t>
  </si>
  <si>
    <t>shunt field current=V/Rsh</t>
  </si>
  <si>
    <t>Rs</t>
  </si>
  <si>
    <t>Series field resistance=</t>
  </si>
  <si>
    <t>Volt drop in series field=(IL+Ish)*Rs=</t>
  </si>
  <si>
    <t>Volt drop in armature=(IL+Ish)Ra=</t>
  </si>
  <si>
    <t>Ra</t>
  </si>
  <si>
    <t>Armature resistance=</t>
  </si>
  <si>
    <t>Volt drop in brushes=2*.9=</t>
  </si>
  <si>
    <t>Total voltage drop=2.1+1.575+1.8=</t>
  </si>
  <si>
    <t>Emf=terminal voltage +total voltage drop=</t>
  </si>
  <si>
    <t>Terminal voltage=</t>
  </si>
  <si>
    <t>d.c.generators-parallel operation</t>
  </si>
  <si>
    <t>d.c.generators in parallel-effect of changing the excitation of one</t>
  </si>
  <si>
    <t>Prob.1.6</t>
  </si>
  <si>
    <t xml:space="preserve">machine has an armature resistance of .02 ohm and a field resistance of 30 ohms, the </t>
  </si>
  <si>
    <t>(a) the output of each machine, and (b) the bus voltage</t>
  </si>
  <si>
    <t xml:space="preserve">Let </t>
  </si>
  <si>
    <t>Busbar voltage</t>
  </si>
  <si>
    <t>I1</t>
  </si>
  <si>
    <t>Machine 1 current</t>
  </si>
  <si>
    <t>I2</t>
  </si>
  <si>
    <t>Machine 2 current</t>
  </si>
  <si>
    <t>Rf</t>
  </si>
  <si>
    <t>field resistance</t>
  </si>
  <si>
    <t>2*V/Rf</t>
  </si>
  <si>
    <t>I1 +I2</t>
  </si>
  <si>
    <t>load current</t>
  </si>
  <si>
    <t>=IL+ (2*V/Rf)</t>
  </si>
  <si>
    <t>back emf</t>
  </si>
  <si>
    <t>E2</t>
  </si>
  <si>
    <t>V=E1-I1*Ra=E2-I2*Ra  from which</t>
  </si>
  <si>
    <t>=(E1-V)/Ra</t>
  </si>
  <si>
    <t>=(E2-V)/Ra</t>
  </si>
  <si>
    <t>Eq.3</t>
  </si>
  <si>
    <t>Substituting Eqs.2 &amp;3 in Eq.1,</t>
  </si>
  <si>
    <t>((E1-V)/Ra )+((E2-V)/Ra)= IL +(2*V/Rf)</t>
  </si>
  <si>
    <t>from which,</t>
  </si>
  <si>
    <t>=(E1*Rf+E2*Rf-Rf*Ra*IL)/(2*RA+2*Rf)</t>
  </si>
  <si>
    <t>Total current=640+390=1030 A=1000A of load &amp; 30 A for the fields</t>
  </si>
  <si>
    <t>Prob.1.7</t>
  </si>
  <si>
    <t>of 800 A, the induced emf of each being 250V.</t>
  </si>
  <si>
    <t>original emf of machine1 =</t>
  </si>
  <si>
    <t>E1'</t>
  </si>
  <si>
    <t>new emf of machine1=E1+.04*E1'=</t>
  </si>
  <si>
    <t>Ia1</t>
  </si>
  <si>
    <t>=800/4</t>
  </si>
  <si>
    <t>busbar voltage</t>
  </si>
  <si>
    <t>armature resistance</t>
  </si>
  <si>
    <t>Ia1Ra=E1-V. Therefore,</t>
  </si>
  <si>
    <t>=(E1-V)/Ia1=</t>
  </si>
  <si>
    <t>V1</t>
  </si>
  <si>
    <t>new busbar voltage</t>
  </si>
  <si>
    <t>Ia1'</t>
  </si>
  <si>
    <t>new current of machine 1</t>
  </si>
  <si>
    <t>Ia2'</t>
  </si>
  <si>
    <t>currents of each of the other three machines</t>
  </si>
  <si>
    <t>RL</t>
  </si>
  <si>
    <t>load resistance=240/800=</t>
  </si>
  <si>
    <t>E1'-Ra*Ia1'=V1</t>
  </si>
  <si>
    <t>E2-Ra*Ia2=V1</t>
  </si>
  <si>
    <t>RL*(Ia1'+3*Ia2)=V1</t>
  </si>
  <si>
    <t>Solve the three equations and obtain</t>
  </si>
  <si>
    <t>Ia2</t>
  </si>
  <si>
    <t xml:space="preserve">Assuming that 200 A is 100% full load current of each machine ,machine1 is loaded </t>
  </si>
  <si>
    <t xml:space="preserve">emf's generated being 465 V and 460 V respectively. Calculate </t>
  </si>
  <si>
    <t>Total field current =</t>
  </si>
  <si>
    <t>d . c. generators in parallel-effect of changing the excitation of one</t>
  </si>
  <si>
    <t>current of machine1</t>
  </si>
  <si>
    <t>more than 175% of its full load capacity. But the air circuit breaker of machine 1 will</t>
  </si>
  <si>
    <t>d.c. motor- hysterisis &amp; eddy current losses</t>
  </si>
  <si>
    <t>d.c motor- hysterisis &amp; eddy current losses</t>
  </si>
  <si>
    <t>Prob.1.8</t>
  </si>
  <si>
    <t>Wh</t>
  </si>
  <si>
    <t>Hysterisis loss</t>
  </si>
  <si>
    <t>f</t>
  </si>
  <si>
    <t>frequency</t>
  </si>
  <si>
    <t>We</t>
  </si>
  <si>
    <t>Eddy current loss</t>
  </si>
  <si>
    <t>=k1*f</t>
  </si>
  <si>
    <t>k1,k2 are constants</t>
  </si>
  <si>
    <t>=K2*f*f</t>
  </si>
  <si>
    <t>=K1*N</t>
  </si>
  <si>
    <t>=k2*N*N</t>
  </si>
  <si>
    <t>N</t>
  </si>
  <si>
    <t>k1</t>
  </si>
  <si>
    <t>Therefore,</t>
  </si>
  <si>
    <t>k2</t>
  </si>
  <si>
    <t>N2</t>
  </si>
  <si>
    <t xml:space="preserve">speed at which total iron losses are halved </t>
  </si>
  <si>
    <t>=(Wh+We)/2</t>
  </si>
  <si>
    <t>Therefore ,</t>
  </si>
  <si>
    <t>k1*N2 + k2*N2*N2=( Wh+We)/2, a quadratic equation in N2.</t>
  </si>
  <si>
    <t>N2=(-k1+sqrt(k1*k1+4*k2*((Wh+We)/2))/(2*k2)</t>
  </si>
  <si>
    <t>d.c. motor -efficiency</t>
  </si>
  <si>
    <t>d.c motor-efficiency</t>
  </si>
  <si>
    <t>Prob.1.9</t>
  </si>
  <si>
    <t>(a) stray loss</t>
  </si>
  <si>
    <t>supply voltage</t>
  </si>
  <si>
    <t>If</t>
  </si>
  <si>
    <t xml:space="preserve">Four generators are paralleled on a 240 V bus-bar. all the machines share equally a load </t>
  </si>
  <si>
    <t>Since frequency is proportional to speed, N.,</t>
  </si>
  <si>
    <t>Half of iron losses =</t>
  </si>
  <si>
    <t>(b) efficiency , when input current is 25 A.</t>
  </si>
  <si>
    <t>field current = V/Rf=</t>
  </si>
  <si>
    <t>I</t>
  </si>
  <si>
    <t>Input current</t>
  </si>
  <si>
    <t>Ia</t>
  </si>
  <si>
    <t>armature current</t>
  </si>
  <si>
    <t>=V-Ia*Ra</t>
  </si>
  <si>
    <t>Eg</t>
  </si>
  <si>
    <t>stray loss</t>
  </si>
  <si>
    <t>=Eg*Ia</t>
  </si>
  <si>
    <t>=I-If</t>
  </si>
  <si>
    <t>Pout</t>
  </si>
  <si>
    <t>=Eg*Ia-W</t>
  </si>
  <si>
    <t xml:space="preserve">Alternatively, </t>
  </si>
  <si>
    <t>Pout=Pin-Ploss=V*I-Ia*Ia*Ra-If*If*Rf-W=4858.56W</t>
  </si>
  <si>
    <t>Pin</t>
  </si>
  <si>
    <t>=V*I</t>
  </si>
  <si>
    <t>Efficiency</t>
  </si>
  <si>
    <t>=Pout*100/Pin</t>
  </si>
  <si>
    <t>%</t>
  </si>
  <si>
    <t>Prob.1.10</t>
  </si>
  <si>
    <t>universal motor</t>
  </si>
  <si>
    <t>Determine the speed  and power factor when connected to a 230 V ,50 Hz supply and</t>
  </si>
  <si>
    <t>loaded to take the same current.</t>
  </si>
  <si>
    <t>volts</t>
  </si>
  <si>
    <t>R</t>
  </si>
  <si>
    <t>E</t>
  </si>
  <si>
    <t>=V-R*I</t>
  </si>
  <si>
    <t>On a.c of same value (r.m.s)</t>
  </si>
  <si>
    <t>L</t>
  </si>
  <si>
    <t>H</t>
  </si>
  <si>
    <t>Hz</t>
  </si>
  <si>
    <t>X</t>
  </si>
  <si>
    <t>=2*3.14*f*L</t>
  </si>
  <si>
    <t>I*X</t>
  </si>
  <si>
    <t>Phasor diagram:</t>
  </si>
  <si>
    <t>I*R</t>
  </si>
  <si>
    <t>IR</t>
  </si>
  <si>
    <t>IX</t>
  </si>
  <si>
    <t xml:space="preserve">Hence </t>
  </si>
  <si>
    <t>Er</t>
  </si>
  <si>
    <t>=sqrt(V*V-I*X*I*X)</t>
  </si>
  <si>
    <t>hence new speed =</t>
  </si>
  <si>
    <t xml:space="preserve">speed </t>
  </si>
  <si>
    <t>=Er*N/E</t>
  </si>
  <si>
    <t>+Er</t>
  </si>
  <si>
    <t>Pf</t>
  </si>
  <si>
    <r>
      <t>cos</t>
    </r>
    <r>
      <rPr>
        <sz val="10"/>
        <rFont val="Symbol"/>
        <family val="1"/>
      </rPr>
      <t xml:space="preserve"> f</t>
    </r>
  </si>
  <si>
    <t>=</t>
  </si>
  <si>
    <t>=(IR+Er)/V</t>
  </si>
  <si>
    <t>lag</t>
  </si>
  <si>
    <t xml:space="preserve">H. When connected to a 230 V D.C. supply and loaded to take 1 A it runs at 2000 rpm. </t>
  </si>
  <si>
    <t>D.C.</t>
  </si>
  <si>
    <r>
      <t xml:space="preserve">A fractional kW series motor has  a resistance of 20 ohms and an inductance of  1/ </t>
    </r>
    <r>
      <rPr>
        <sz val="10"/>
        <color indexed="61"/>
        <rFont val="Symbol"/>
        <family val="1"/>
      </rPr>
      <t>p</t>
    </r>
  </si>
  <si>
    <t>resistance is .04 ohm, and the shunt field resistance</t>
  </si>
  <si>
    <t xml:space="preserve">A 4 pole 500V 25 kW long-shunt compound generator delivers full-load at the rated </t>
  </si>
  <si>
    <t>voltage.Calculate the emf generated, if the armature resistance is 0.03 ohm,series field</t>
  </si>
  <si>
    <t>is .9 volts. Neglect armature reaction.</t>
  </si>
  <si>
    <t>200 ohm.Contact drop per brush</t>
  </si>
  <si>
    <t xml:space="preserve">Two shunt generators run in parallel on a bus-bar and supply 1000 A to consumers.Each </t>
  </si>
  <si>
    <t xml:space="preserve">An operator inadvertently alters the position of a field regulator arm thereby increasing </t>
  </si>
  <si>
    <t xml:space="preserve">the emf of one machine by 4 %. Calculate  the current of each machine and state </t>
  </si>
  <si>
    <t>whether any harm has been done.</t>
  </si>
  <si>
    <t xml:space="preserve">trip immediately, and the other three machines will be called upon to supply the total </t>
  </si>
  <si>
    <t>load. In short, there will be quite a chaotic condition for a short time in the station, which</t>
  </si>
  <si>
    <t>at all costs must be prevented.</t>
  </si>
  <si>
    <t xml:space="preserve">A d. c motor running at 600 rpm has hysterisis loss of 360 W and eddy current loss of </t>
  </si>
  <si>
    <t xml:space="preserve"> 120 W. Calculate the speed at which the total iron losses will be halved.</t>
  </si>
  <si>
    <t xml:space="preserve">shunt  field resistance is 240 ohms and the armature resistance is .32 ohm, calculate </t>
  </si>
  <si>
    <t>A motor is operated at no load from a 240 V supply and the input current is 4 A. If the</t>
  </si>
  <si>
    <t xml:space="preserve">From phasor diagram, reactance drop leads current by 90 deg, IR drop and rotational </t>
  </si>
  <si>
    <t>emf  Er are in phase with the current(neglecting efffect of iron loss)</t>
  </si>
  <si>
    <t>For the same peak flux, the emf of rotation(rms) is 1/sqrt(2) of D.C. value; but peak flux</t>
  </si>
  <si>
    <t xml:space="preserve">in a.c  is sqrt(2) times flux on D.C. for same rms current, therefore Er is same for same </t>
  </si>
  <si>
    <t>speed and is proportional to speed.</t>
  </si>
  <si>
    <t xml:space="preserve">taking 50 kW from the same supply. Show that the direction of rotation of the machine </t>
  </si>
  <si>
    <t>as a generator and as a motor under these conditions is unchanged.</t>
  </si>
  <si>
    <t>d.c.generator - back emf</t>
  </si>
  <si>
    <t>d.c machine-generator &amp; motor action</t>
  </si>
  <si>
    <t>d.c. motor-ouput power &amp; torque</t>
  </si>
  <si>
    <t>takes you to the start page after you have read this Chapter.</t>
  </si>
  <si>
    <t>Start page has links to other Chapters.</t>
  </si>
  <si>
    <t>WEBSITE</t>
  </si>
  <si>
    <t>Prob.1.11</t>
  </si>
  <si>
    <t>Field weakening</t>
  </si>
  <si>
    <t xml:space="preserve">A d.c series motor having an overall resistance of 0.15  ohm has the following </t>
  </si>
  <si>
    <t>characteristic at 600 V.</t>
  </si>
  <si>
    <t>Current, A</t>
  </si>
  <si>
    <t>Speed, rpm</t>
  </si>
  <si>
    <t>If the field is weakened by tappings which reduce the number of turns/pole</t>
  </si>
  <si>
    <t>to  70% of normal,at what speed the would the motor run when taking 160 A</t>
  </si>
  <si>
    <t>from the 600V supply. Neglect armature reaction.</t>
  </si>
  <si>
    <t xml:space="preserve">The magnetisation characteristic(flux gainst current at constant speed) is </t>
  </si>
  <si>
    <t>derived from the given torque/current curve as follows:</t>
  </si>
  <si>
    <t>The emf can be calculated from the resistance and currents.</t>
  </si>
  <si>
    <t>Since the flux is proportional to E/n, the pu flux (taking 200A as producing</t>
  </si>
  <si>
    <t>1 pu flux) can be found from</t>
  </si>
  <si>
    <t>Φpu =1.0(E/E200)(n200/n)</t>
  </si>
  <si>
    <t xml:space="preserve">current,I </t>
  </si>
  <si>
    <t>IR drop,</t>
  </si>
  <si>
    <t>E,</t>
  </si>
  <si>
    <t>Φpu =</t>
  </si>
  <si>
    <t>AT 160 A, the flux is 0.95.The tappings reduce the effectiv ecurrent to 160*.7= 112 A.</t>
  </si>
  <si>
    <t>The flux from the above graph  at  112 A is  about 0.84 pu.</t>
  </si>
  <si>
    <t>The emf is not altered.</t>
  </si>
  <si>
    <t>The new speed is = 1900*.95/.84=</t>
  </si>
  <si>
    <t>The tapping changes the overall motor resistance ,but this is neglected.</t>
  </si>
  <si>
    <t>·</t>
  </si>
  <si>
    <r>
      <t>·</t>
    </r>
    <r>
      <rPr>
        <sz val="10"/>
        <rFont val="Times New Roman"/>
        <family val="1"/>
      </rPr>
      <t>Explain why series motors  are used in preference  to shunt motors for traction applications.</t>
    </r>
  </si>
  <si>
    <r>
      <t>·</t>
    </r>
    <r>
      <rPr>
        <sz val="10"/>
        <rFont val="Arial"/>
        <family val="0"/>
      </rPr>
      <t>What would b ethe ffect of armature reaction?</t>
    </r>
  </si>
  <si>
    <t>Compare the use of diverter resistances  and field tappings for series motor speed control.</t>
  </si>
  <si>
    <t>d.c. motor- field weakening</t>
  </si>
  <si>
    <t>d.c.generator -Transient behaviour</t>
  </si>
  <si>
    <t>Prob.1.12</t>
  </si>
  <si>
    <t>D.C generator -Transient behaviour</t>
  </si>
  <si>
    <t xml:space="preserve">The field winding of a separately excited d.c.generator has an inductance of 75 H </t>
  </si>
  <si>
    <t>and a resistance of 150 ohms. The rotational mutual  inductance coefficient</t>
  </si>
  <si>
    <t xml:space="preserve">  between the field and armature is  1 H/rad/s.</t>
  </si>
  <si>
    <t xml:space="preserve">With the machine unexcited and driven at 1000 rpm , a ramp function voltage  </t>
  </si>
  <si>
    <t>emf at  t= 0.5 s.</t>
  </si>
  <si>
    <t>va =wr. Laf. if</t>
  </si>
  <si>
    <t xml:space="preserve">v(t) =100t volts </t>
  </si>
  <si>
    <t xml:space="preserve">is applied at t = 0 s    to the terminals of the field winding. Determine the armature </t>
  </si>
  <si>
    <t xml:space="preserve">vf =100t </t>
  </si>
  <si>
    <t>vf =rf . If + Lf dif/dt=( rf+Lfp)uf</t>
  </si>
  <si>
    <t>Therefore,  va  = wr. Laf  . 100t/(rf+Lf.p)</t>
  </si>
  <si>
    <t>Transforming to s-domain for Laplace transforms,</t>
  </si>
  <si>
    <t>va(s) =  {100/[s.s(s+rf/Lf)]. }. (wrLaf/Lf)</t>
  </si>
  <si>
    <t>wr=1000x 2*3.1416/60 =</t>
  </si>
  <si>
    <t>rad/s</t>
  </si>
  <si>
    <t>Laf</t>
  </si>
  <si>
    <t>rf=</t>
  </si>
  <si>
    <t>Lf=</t>
  </si>
  <si>
    <t>alpha=rf/Lf=</t>
  </si>
  <si>
    <t>beta=100 wr.Laf/Lf=</t>
  </si>
  <si>
    <t>vas=  beta/[s.s(s+alpha)]= beta[{(1/s.s))-1/(s(s+alph))}</t>
  </si>
  <si>
    <t>vas= (1/(alph.alph){(alph/s.s)-alph/s(s+alph))</t>
  </si>
  <si>
    <t>Coverting to time-domain,</t>
  </si>
  <si>
    <t>va(t)=</t>
  </si>
  <si>
    <t>with t=</t>
  </si>
  <si>
    <t>sec</t>
  </si>
  <si>
    <t>va(t)= [beta/(alpha*alpha)](alpha.t -1+exp(-alpha.t)</t>
  </si>
  <si>
    <t>Fractional kW series moor</t>
  </si>
  <si>
    <t>Prob.1.13</t>
  </si>
  <si>
    <t>Fractional kW series motor</t>
  </si>
  <si>
    <t xml:space="preserve">A fractional kW series motor has  a resistance of 30 ohms and an inductance of </t>
  </si>
  <si>
    <t>0.5 H. when connected to a 250 V  d.c supply and loaded to take 0.8 A  it runs</t>
  </si>
  <si>
    <t>50 Hz supply and loaded to take the same current.</t>
  </si>
  <si>
    <t>r</t>
  </si>
  <si>
    <t>Ir =</t>
  </si>
  <si>
    <t>E=V-Ir</t>
  </si>
  <si>
    <t>A.C supply</t>
  </si>
  <si>
    <t>D.C.supply:</t>
  </si>
  <si>
    <t>X=wL</t>
  </si>
  <si>
    <t>IX=</t>
  </si>
  <si>
    <t>Ir=24 V</t>
  </si>
  <si>
    <t>V= 250 V</t>
  </si>
  <si>
    <t xml:space="preserve">      I</t>
  </si>
  <si>
    <t>IX=126 V</t>
  </si>
  <si>
    <t>Phasor diagram</t>
  </si>
  <si>
    <t>Reactance drop leads currnt by 90 deg; Ir drop and rotational emf Er are</t>
  </si>
  <si>
    <t xml:space="preserve"> in phase with current ( effect of iron loss neglected)</t>
  </si>
  <si>
    <t>Back-emf=</t>
  </si>
  <si>
    <t>Er=sqrt(V*V-(IX)*(IX))-Ir=</t>
  </si>
  <si>
    <t>For the same peak flux, the emf of rottaion(r.m.s) is 1/sqrt(2) of d.c value;</t>
  </si>
  <si>
    <t>but peakflux  on a.c is sqrt(2) times flux on d.c foer same r.m.s current.</t>
  </si>
  <si>
    <t>Therefore,Er is same  for same speed and is proportional to speed.</t>
  </si>
  <si>
    <t xml:space="preserve"> at 2000 rpm.Determine the speed and power factor when connected to a 250 V ,</t>
  </si>
  <si>
    <t>Hence new speed =2000*Er/E</t>
  </si>
  <si>
    <t>Φ</t>
  </si>
  <si>
    <t>p.f= ((Er+Ir)/ V)</t>
  </si>
  <si>
    <t>The voltage equations for the field and armature circuits are:</t>
  </si>
  <si>
    <t>Speed controller of  a d.c motor</t>
  </si>
  <si>
    <t xml:space="preserve"> A d. c motor is  driving a loadd having an inertia of 200 kgm^2 and has its </t>
  </si>
  <si>
    <t xml:space="preserve">speed controlled  by a closed-loop system.Frictional torque= 10 Nm/rad/s and </t>
  </si>
  <si>
    <t>the motor torque produced by the error signal is  100Nm per rad/s of error.</t>
  </si>
  <si>
    <t>If the  motor is at rest and the controller is suddenly set  to demand  a speed  of 20</t>
  </si>
  <si>
    <t xml:space="preserve">rad/s, develop an expression  for the speed  in terms of time and determine </t>
  </si>
  <si>
    <t xml:space="preserve"> the steady-state speed  which will eventually reach.</t>
  </si>
  <si>
    <t>Equation of motion is:</t>
  </si>
  <si>
    <t>Jd^2θo/dt^2  + F dθo/dt  = K (dθi/dt - dθo/dt)</t>
  </si>
  <si>
    <t>F= Frictional torque</t>
  </si>
  <si>
    <t>θo= output</t>
  </si>
  <si>
    <t>θi= demanded angular position</t>
  </si>
  <si>
    <t>Hence,</t>
  </si>
  <si>
    <t>d^2θo/dt^2  + (F+K dθo/dt )/Jdt = K dθi/dt</t>
  </si>
  <si>
    <t>Changing to s- domain,</t>
  </si>
  <si>
    <t>θo (s) .s^2 + (((F+k)/J)θo(s).s = (K/(s.J))dθi/dt</t>
  </si>
  <si>
    <t>=(1/s) dθi/dt, is a sudden change  of input in the form of  a step function =20 rad/s</t>
  </si>
  <si>
    <t>(F+K)/J=</t>
  </si>
  <si>
    <t>K/J=</t>
  </si>
  <si>
    <t>(K/(s.J))dθi/dt=</t>
  </si>
  <si>
    <t>θo(s).S^2 +0.55 θo(s) .s = 10/s</t>
  </si>
  <si>
    <t>θo(s)=  10/(s^2(s+0.55)=  (10/0.55)[ (1/s^2) -(1/.55)(.55/(s+.55)]</t>
  </si>
  <si>
    <t>Taking the inverse transform, we get</t>
  </si>
  <si>
    <t xml:space="preserve">θo(t)= (10t/.55 ) -(10/.55^2  ) (1-exp(-.55t))   </t>
  </si>
  <si>
    <t>Hence speed= dθo/dt = (10/.55)  -(10exp(-.55t)/.55^2)</t>
  </si>
  <si>
    <r>
      <t>Steady state speed (at t=</t>
    </r>
    <r>
      <rPr>
        <sz val="10"/>
        <rFont val="Symbol"/>
        <family val="1"/>
      </rPr>
      <t>¥</t>
    </r>
    <r>
      <rPr>
        <sz val="10"/>
        <rFont val="Arial"/>
        <family val="0"/>
      </rPr>
      <t>)= 10/.55 = 18.2 rad.s</t>
    </r>
  </si>
  <si>
    <t>Prob. 1.14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</si>
</sst>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Symbol"/>
      <family val="1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color indexed="61"/>
      <name val="Symbol"/>
      <family val="1"/>
    </font>
    <font>
      <i/>
      <sz val="10"/>
      <name val="Arial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1" fontId="0" fillId="0" borderId="0" xfId="0" applyNumberFormat="1" applyAlignment="1" quotePrefix="1">
      <alignment horizontal="left"/>
    </xf>
    <xf numFmtId="0" fontId="4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53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10" xfId="53" applyFont="1" applyBorder="1" applyAlignment="1" applyProtection="1">
      <alignment/>
      <protection/>
    </xf>
    <xf numFmtId="0" fontId="8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Magnetisation  curve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59"/>
          <c:w val="0.86375"/>
          <c:h val="0.73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Sheet1!$D$388:$I$388</c:f>
              <c:numCache/>
            </c:numRef>
          </c:cat>
          <c:val>
            <c:numRef>
              <c:f>Sheet1!$D$391:$I$391</c:f>
              <c:numCache/>
            </c:numRef>
          </c:val>
          <c:smooth val="1"/>
        </c:ser>
        <c:marker val="1"/>
        <c:axId val="8314084"/>
        <c:axId val="7717893"/>
      </c:lineChart>
      <c:catAx>
        <c:axId val="831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I, A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17893"/>
        <c:crosses val="autoZero"/>
        <c:auto val="0"/>
        <c:lblOffset val="100"/>
        <c:tickLblSkip val="1"/>
        <c:noMultiLvlLbl val="0"/>
      </c:catAx>
      <c:valAx>
        <c:axId val="771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Flux, pu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140</xdr:row>
      <xdr:rowOff>0</xdr:rowOff>
    </xdr:from>
    <xdr:to>
      <xdr:col>3</xdr:col>
      <xdr:colOff>485775</xdr:colOff>
      <xdr:row>142</xdr:row>
      <xdr:rowOff>38100</xdr:rowOff>
    </xdr:to>
    <xdr:sp>
      <xdr:nvSpPr>
        <xdr:cNvPr id="1" name="Oval 1"/>
        <xdr:cNvSpPr>
          <a:spLocks/>
        </xdr:cNvSpPr>
      </xdr:nvSpPr>
      <xdr:spPr>
        <a:xfrm>
          <a:off x="1962150" y="23307675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140</xdr:row>
      <xdr:rowOff>123825</xdr:rowOff>
    </xdr:from>
    <xdr:to>
      <xdr:col>3</xdr:col>
      <xdr:colOff>85725</xdr:colOff>
      <xdr:row>141</xdr:row>
      <xdr:rowOff>76200</xdr:rowOff>
    </xdr:to>
    <xdr:sp>
      <xdr:nvSpPr>
        <xdr:cNvPr id="2" name="Line 4"/>
        <xdr:cNvSpPr>
          <a:spLocks/>
        </xdr:cNvSpPr>
      </xdr:nvSpPr>
      <xdr:spPr>
        <a:xfrm>
          <a:off x="1914525" y="23431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140</xdr:row>
      <xdr:rowOff>114300</xdr:rowOff>
    </xdr:from>
    <xdr:to>
      <xdr:col>3</xdr:col>
      <xdr:colOff>542925</xdr:colOff>
      <xdr:row>141</xdr:row>
      <xdr:rowOff>66675</xdr:rowOff>
    </xdr:to>
    <xdr:sp>
      <xdr:nvSpPr>
        <xdr:cNvPr id="3" name="Line 5"/>
        <xdr:cNvSpPr>
          <a:spLocks/>
        </xdr:cNvSpPr>
      </xdr:nvSpPr>
      <xdr:spPr>
        <a:xfrm>
          <a:off x="2371725" y="23421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140</xdr:row>
      <xdr:rowOff>133350</xdr:rowOff>
    </xdr:from>
    <xdr:to>
      <xdr:col>3</xdr:col>
      <xdr:colOff>161925</xdr:colOff>
      <xdr:row>140</xdr:row>
      <xdr:rowOff>133350</xdr:rowOff>
    </xdr:to>
    <xdr:sp>
      <xdr:nvSpPr>
        <xdr:cNvPr id="4" name="Line 7"/>
        <xdr:cNvSpPr>
          <a:spLocks/>
        </xdr:cNvSpPr>
      </xdr:nvSpPr>
      <xdr:spPr>
        <a:xfrm>
          <a:off x="1924050" y="23441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140</xdr:row>
      <xdr:rowOff>123825</xdr:rowOff>
    </xdr:from>
    <xdr:to>
      <xdr:col>3</xdr:col>
      <xdr:colOff>542925</xdr:colOff>
      <xdr:row>140</xdr:row>
      <xdr:rowOff>123825</xdr:rowOff>
    </xdr:to>
    <xdr:sp>
      <xdr:nvSpPr>
        <xdr:cNvPr id="5" name="Line 8"/>
        <xdr:cNvSpPr>
          <a:spLocks/>
        </xdr:cNvSpPr>
      </xdr:nvSpPr>
      <xdr:spPr>
        <a:xfrm>
          <a:off x="2305050" y="23431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141</xdr:row>
      <xdr:rowOff>76200</xdr:rowOff>
    </xdr:from>
    <xdr:to>
      <xdr:col>3</xdr:col>
      <xdr:colOff>152400</xdr:colOff>
      <xdr:row>141</xdr:row>
      <xdr:rowOff>76200</xdr:rowOff>
    </xdr:to>
    <xdr:sp>
      <xdr:nvSpPr>
        <xdr:cNvPr id="6" name="Line 9"/>
        <xdr:cNvSpPr>
          <a:spLocks/>
        </xdr:cNvSpPr>
      </xdr:nvSpPr>
      <xdr:spPr>
        <a:xfrm>
          <a:off x="1914525" y="23545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141</xdr:row>
      <xdr:rowOff>66675</xdr:rowOff>
    </xdr:from>
    <xdr:to>
      <xdr:col>3</xdr:col>
      <xdr:colOff>561975</xdr:colOff>
      <xdr:row>141</xdr:row>
      <xdr:rowOff>66675</xdr:rowOff>
    </xdr:to>
    <xdr:sp>
      <xdr:nvSpPr>
        <xdr:cNvPr id="7" name="Line 10"/>
        <xdr:cNvSpPr>
          <a:spLocks/>
        </xdr:cNvSpPr>
      </xdr:nvSpPr>
      <xdr:spPr>
        <a:xfrm>
          <a:off x="2324100" y="23536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137</xdr:row>
      <xdr:rowOff>152400</xdr:rowOff>
    </xdr:from>
    <xdr:to>
      <xdr:col>3</xdr:col>
      <xdr:colOff>238125</xdr:colOff>
      <xdr:row>138</xdr:row>
      <xdr:rowOff>66675</xdr:rowOff>
    </xdr:to>
    <xdr:sp>
      <xdr:nvSpPr>
        <xdr:cNvPr id="8" name="Arc 11"/>
        <xdr:cNvSpPr>
          <a:spLocks/>
        </xdr:cNvSpPr>
      </xdr:nvSpPr>
      <xdr:spPr>
        <a:xfrm>
          <a:off x="1990725" y="229743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138</xdr:row>
      <xdr:rowOff>0</xdr:rowOff>
    </xdr:from>
    <xdr:to>
      <xdr:col>3</xdr:col>
      <xdr:colOff>142875</xdr:colOff>
      <xdr:row>138</xdr:row>
      <xdr:rowOff>76200</xdr:rowOff>
    </xdr:to>
    <xdr:sp>
      <xdr:nvSpPr>
        <xdr:cNvPr id="9" name="Arc 12"/>
        <xdr:cNvSpPr>
          <a:spLocks/>
        </xdr:cNvSpPr>
      </xdr:nvSpPr>
      <xdr:spPr>
        <a:xfrm flipH="1">
          <a:off x="1895475" y="22983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137</xdr:row>
      <xdr:rowOff>152400</xdr:rowOff>
    </xdr:from>
    <xdr:to>
      <xdr:col>3</xdr:col>
      <xdr:colOff>333375</xdr:colOff>
      <xdr:row>138</xdr:row>
      <xdr:rowOff>66675</xdr:rowOff>
    </xdr:to>
    <xdr:sp>
      <xdr:nvSpPr>
        <xdr:cNvPr id="10" name="Arc 13"/>
        <xdr:cNvSpPr>
          <a:spLocks/>
        </xdr:cNvSpPr>
      </xdr:nvSpPr>
      <xdr:spPr>
        <a:xfrm flipH="1">
          <a:off x="2085975" y="229743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137</xdr:row>
      <xdr:rowOff>152400</xdr:rowOff>
    </xdr:from>
    <xdr:to>
      <xdr:col>3</xdr:col>
      <xdr:colOff>419100</xdr:colOff>
      <xdr:row>138</xdr:row>
      <xdr:rowOff>66675</xdr:rowOff>
    </xdr:to>
    <xdr:sp>
      <xdr:nvSpPr>
        <xdr:cNvPr id="11" name="Arc 14"/>
        <xdr:cNvSpPr>
          <a:spLocks/>
        </xdr:cNvSpPr>
      </xdr:nvSpPr>
      <xdr:spPr>
        <a:xfrm>
          <a:off x="2171700" y="229743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140</xdr:row>
      <xdr:rowOff>85725</xdr:rowOff>
    </xdr:from>
    <xdr:to>
      <xdr:col>4</xdr:col>
      <xdr:colOff>542925</xdr:colOff>
      <xdr:row>141</xdr:row>
      <xdr:rowOff>0</xdr:rowOff>
    </xdr:to>
    <xdr:sp>
      <xdr:nvSpPr>
        <xdr:cNvPr id="12" name="Arc 15"/>
        <xdr:cNvSpPr>
          <a:spLocks/>
        </xdr:cNvSpPr>
      </xdr:nvSpPr>
      <xdr:spPr>
        <a:xfrm flipH="1">
          <a:off x="2905125" y="233934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140</xdr:row>
      <xdr:rowOff>95250</xdr:rowOff>
    </xdr:from>
    <xdr:to>
      <xdr:col>5</xdr:col>
      <xdr:colOff>38100</xdr:colOff>
      <xdr:row>141</xdr:row>
      <xdr:rowOff>9525</xdr:rowOff>
    </xdr:to>
    <xdr:sp>
      <xdr:nvSpPr>
        <xdr:cNvPr id="13" name="Arc 16"/>
        <xdr:cNvSpPr>
          <a:spLocks/>
        </xdr:cNvSpPr>
      </xdr:nvSpPr>
      <xdr:spPr>
        <a:xfrm>
          <a:off x="3009900" y="234029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140</xdr:row>
      <xdr:rowOff>104775</xdr:rowOff>
    </xdr:from>
    <xdr:to>
      <xdr:col>5</xdr:col>
      <xdr:colOff>114300</xdr:colOff>
      <xdr:row>141</xdr:row>
      <xdr:rowOff>19050</xdr:rowOff>
    </xdr:to>
    <xdr:sp>
      <xdr:nvSpPr>
        <xdr:cNvPr id="14" name="Arc 17"/>
        <xdr:cNvSpPr>
          <a:spLocks/>
        </xdr:cNvSpPr>
      </xdr:nvSpPr>
      <xdr:spPr>
        <a:xfrm flipH="1">
          <a:off x="3086100" y="23412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140</xdr:row>
      <xdr:rowOff>104775</xdr:rowOff>
    </xdr:from>
    <xdr:to>
      <xdr:col>5</xdr:col>
      <xdr:colOff>200025</xdr:colOff>
      <xdr:row>141</xdr:row>
      <xdr:rowOff>19050</xdr:rowOff>
    </xdr:to>
    <xdr:sp>
      <xdr:nvSpPr>
        <xdr:cNvPr id="15" name="Arc 18"/>
        <xdr:cNvSpPr>
          <a:spLocks/>
        </xdr:cNvSpPr>
      </xdr:nvSpPr>
      <xdr:spPr>
        <a:xfrm>
          <a:off x="3171825" y="23412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144</xdr:row>
      <xdr:rowOff>95250</xdr:rowOff>
    </xdr:from>
    <xdr:to>
      <xdr:col>3</xdr:col>
      <xdr:colOff>419100</xdr:colOff>
      <xdr:row>145</xdr:row>
      <xdr:rowOff>9525</xdr:rowOff>
    </xdr:to>
    <xdr:sp>
      <xdr:nvSpPr>
        <xdr:cNvPr id="16" name="Line 19"/>
        <xdr:cNvSpPr>
          <a:spLocks/>
        </xdr:cNvSpPr>
      </xdr:nvSpPr>
      <xdr:spPr>
        <a:xfrm flipV="1">
          <a:off x="2171700" y="240506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144</xdr:row>
      <xdr:rowOff>104775</xdr:rowOff>
    </xdr:from>
    <xdr:to>
      <xdr:col>3</xdr:col>
      <xdr:colOff>476250</xdr:colOff>
      <xdr:row>145</xdr:row>
      <xdr:rowOff>0</xdr:rowOff>
    </xdr:to>
    <xdr:sp>
      <xdr:nvSpPr>
        <xdr:cNvPr id="17" name="Line 20"/>
        <xdr:cNvSpPr>
          <a:spLocks/>
        </xdr:cNvSpPr>
      </xdr:nvSpPr>
      <xdr:spPr>
        <a:xfrm>
          <a:off x="2238375" y="24060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144</xdr:row>
      <xdr:rowOff>95250</xdr:rowOff>
    </xdr:from>
    <xdr:to>
      <xdr:col>3</xdr:col>
      <xdr:colOff>533400</xdr:colOff>
      <xdr:row>144</xdr:row>
      <xdr:rowOff>152400</xdr:rowOff>
    </xdr:to>
    <xdr:sp>
      <xdr:nvSpPr>
        <xdr:cNvPr id="18" name="Line 22"/>
        <xdr:cNvSpPr>
          <a:spLocks/>
        </xdr:cNvSpPr>
      </xdr:nvSpPr>
      <xdr:spPr>
        <a:xfrm flipV="1">
          <a:off x="2295525" y="240506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144</xdr:row>
      <xdr:rowOff>95250</xdr:rowOff>
    </xdr:from>
    <xdr:to>
      <xdr:col>3</xdr:col>
      <xdr:colOff>571500</xdr:colOff>
      <xdr:row>144</xdr:row>
      <xdr:rowOff>152400</xdr:rowOff>
    </xdr:to>
    <xdr:sp>
      <xdr:nvSpPr>
        <xdr:cNvPr id="19" name="Line 23"/>
        <xdr:cNvSpPr>
          <a:spLocks/>
        </xdr:cNvSpPr>
      </xdr:nvSpPr>
      <xdr:spPr>
        <a:xfrm>
          <a:off x="2352675" y="2405062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144</xdr:row>
      <xdr:rowOff>104775</xdr:rowOff>
    </xdr:from>
    <xdr:to>
      <xdr:col>4</xdr:col>
      <xdr:colOff>19050</xdr:colOff>
      <xdr:row>144</xdr:row>
      <xdr:rowOff>152400</xdr:rowOff>
    </xdr:to>
    <xdr:sp>
      <xdr:nvSpPr>
        <xdr:cNvPr id="20" name="Line 24"/>
        <xdr:cNvSpPr>
          <a:spLocks/>
        </xdr:cNvSpPr>
      </xdr:nvSpPr>
      <xdr:spPr>
        <a:xfrm flipV="1">
          <a:off x="2419350" y="240601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144</xdr:row>
      <xdr:rowOff>123825</xdr:rowOff>
    </xdr:from>
    <xdr:to>
      <xdr:col>4</xdr:col>
      <xdr:colOff>85725</xdr:colOff>
      <xdr:row>145</xdr:row>
      <xdr:rowOff>0</xdr:rowOff>
    </xdr:to>
    <xdr:sp>
      <xdr:nvSpPr>
        <xdr:cNvPr id="21" name="Line 25"/>
        <xdr:cNvSpPr>
          <a:spLocks/>
        </xdr:cNvSpPr>
      </xdr:nvSpPr>
      <xdr:spPr>
        <a:xfrm>
          <a:off x="2457450" y="24079200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138</xdr:row>
      <xdr:rowOff>38100</xdr:rowOff>
    </xdr:from>
    <xdr:to>
      <xdr:col>2</xdr:col>
      <xdr:colOff>371475</xdr:colOff>
      <xdr:row>145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1590675" y="23021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138</xdr:row>
      <xdr:rowOff>38100</xdr:rowOff>
    </xdr:from>
    <xdr:to>
      <xdr:col>5</xdr:col>
      <xdr:colOff>361950</xdr:colOff>
      <xdr:row>145</xdr:row>
      <xdr:rowOff>9525</xdr:rowOff>
    </xdr:to>
    <xdr:sp>
      <xdr:nvSpPr>
        <xdr:cNvPr id="23" name="Line 27"/>
        <xdr:cNvSpPr>
          <a:spLocks/>
        </xdr:cNvSpPr>
      </xdr:nvSpPr>
      <xdr:spPr>
        <a:xfrm>
          <a:off x="3409950" y="23021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138</xdr:row>
      <xdr:rowOff>57150</xdr:rowOff>
    </xdr:from>
    <xdr:to>
      <xdr:col>3</xdr:col>
      <xdr:colOff>57150</xdr:colOff>
      <xdr:row>138</xdr:row>
      <xdr:rowOff>57150</xdr:rowOff>
    </xdr:to>
    <xdr:sp>
      <xdr:nvSpPr>
        <xdr:cNvPr id="24" name="Line 28"/>
        <xdr:cNvSpPr>
          <a:spLocks/>
        </xdr:cNvSpPr>
      </xdr:nvSpPr>
      <xdr:spPr>
        <a:xfrm>
          <a:off x="1600200" y="23040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138</xdr:row>
      <xdr:rowOff>38100</xdr:rowOff>
    </xdr:from>
    <xdr:to>
      <xdr:col>5</xdr:col>
      <xdr:colOff>371475</xdr:colOff>
      <xdr:row>138</xdr:row>
      <xdr:rowOff>38100</xdr:rowOff>
    </xdr:to>
    <xdr:sp>
      <xdr:nvSpPr>
        <xdr:cNvPr id="25" name="Line 29"/>
        <xdr:cNvSpPr>
          <a:spLocks/>
        </xdr:cNvSpPr>
      </xdr:nvSpPr>
      <xdr:spPr>
        <a:xfrm>
          <a:off x="2257425" y="23021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141</xdr:row>
      <xdr:rowOff>19050</xdr:rowOff>
    </xdr:from>
    <xdr:to>
      <xdr:col>3</xdr:col>
      <xdr:colOff>104775</xdr:colOff>
      <xdr:row>141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1590675" y="23488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140</xdr:row>
      <xdr:rowOff>152400</xdr:rowOff>
    </xdr:from>
    <xdr:to>
      <xdr:col>4</xdr:col>
      <xdr:colOff>466725</xdr:colOff>
      <xdr:row>140</xdr:row>
      <xdr:rowOff>152400</xdr:rowOff>
    </xdr:to>
    <xdr:sp>
      <xdr:nvSpPr>
        <xdr:cNvPr id="27" name="Line 31"/>
        <xdr:cNvSpPr>
          <a:spLocks/>
        </xdr:cNvSpPr>
      </xdr:nvSpPr>
      <xdr:spPr>
        <a:xfrm>
          <a:off x="2371725" y="23460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141</xdr:row>
      <xdr:rowOff>19050</xdr:rowOff>
    </xdr:from>
    <xdr:to>
      <xdr:col>5</xdr:col>
      <xdr:colOff>342900</xdr:colOff>
      <xdr:row>141</xdr:row>
      <xdr:rowOff>19050</xdr:rowOff>
    </xdr:to>
    <xdr:sp>
      <xdr:nvSpPr>
        <xdr:cNvPr id="28" name="Line 32"/>
        <xdr:cNvSpPr>
          <a:spLocks/>
        </xdr:cNvSpPr>
      </xdr:nvSpPr>
      <xdr:spPr>
        <a:xfrm>
          <a:off x="3238500" y="23488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145</xdr:row>
      <xdr:rowOff>9525</xdr:rowOff>
    </xdr:from>
    <xdr:to>
      <xdr:col>3</xdr:col>
      <xdr:colOff>361950</xdr:colOff>
      <xdr:row>145</xdr:row>
      <xdr:rowOff>9525</xdr:rowOff>
    </xdr:to>
    <xdr:sp>
      <xdr:nvSpPr>
        <xdr:cNvPr id="29" name="Line 33"/>
        <xdr:cNvSpPr>
          <a:spLocks/>
        </xdr:cNvSpPr>
      </xdr:nvSpPr>
      <xdr:spPr>
        <a:xfrm>
          <a:off x="1590675" y="24126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145</xdr:row>
      <xdr:rowOff>0</xdr:rowOff>
    </xdr:from>
    <xdr:to>
      <xdr:col>5</xdr:col>
      <xdr:colOff>352425</xdr:colOff>
      <xdr:row>145</xdr:row>
      <xdr:rowOff>0</xdr:rowOff>
    </xdr:to>
    <xdr:sp>
      <xdr:nvSpPr>
        <xdr:cNvPr id="30" name="Line 34"/>
        <xdr:cNvSpPr>
          <a:spLocks/>
        </xdr:cNvSpPr>
      </xdr:nvSpPr>
      <xdr:spPr>
        <a:xfrm>
          <a:off x="2514600" y="24117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139</xdr:row>
      <xdr:rowOff>104775</xdr:rowOff>
    </xdr:from>
    <xdr:to>
      <xdr:col>6</xdr:col>
      <xdr:colOff>419100</xdr:colOff>
      <xdr:row>140</xdr:row>
      <xdr:rowOff>114300</xdr:rowOff>
    </xdr:to>
    <xdr:sp>
      <xdr:nvSpPr>
        <xdr:cNvPr id="31" name="Line 35"/>
        <xdr:cNvSpPr>
          <a:spLocks/>
        </xdr:cNvSpPr>
      </xdr:nvSpPr>
      <xdr:spPr>
        <a:xfrm flipV="1">
          <a:off x="3248025" y="23250525"/>
          <a:ext cx="828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141</xdr:row>
      <xdr:rowOff>142875</xdr:rowOff>
    </xdr:from>
    <xdr:to>
      <xdr:col>2</xdr:col>
      <xdr:colOff>371475</xdr:colOff>
      <xdr:row>144</xdr:row>
      <xdr:rowOff>28575</xdr:rowOff>
    </xdr:to>
    <xdr:sp>
      <xdr:nvSpPr>
        <xdr:cNvPr id="32" name="Line 36"/>
        <xdr:cNvSpPr>
          <a:spLocks/>
        </xdr:cNvSpPr>
      </xdr:nvSpPr>
      <xdr:spPr>
        <a:xfrm>
          <a:off x="1581150" y="236124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138</xdr:row>
      <xdr:rowOff>38100</xdr:rowOff>
    </xdr:from>
    <xdr:to>
      <xdr:col>4</xdr:col>
      <xdr:colOff>342900</xdr:colOff>
      <xdr:row>138</xdr:row>
      <xdr:rowOff>38100</xdr:rowOff>
    </xdr:to>
    <xdr:sp>
      <xdr:nvSpPr>
        <xdr:cNvPr id="33" name="Line 37"/>
        <xdr:cNvSpPr>
          <a:spLocks/>
        </xdr:cNvSpPr>
      </xdr:nvSpPr>
      <xdr:spPr>
        <a:xfrm>
          <a:off x="2505075" y="23021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141</xdr:row>
      <xdr:rowOff>0</xdr:rowOff>
    </xdr:from>
    <xdr:to>
      <xdr:col>4</xdr:col>
      <xdr:colOff>352425</xdr:colOff>
      <xdr:row>141</xdr:row>
      <xdr:rowOff>0</xdr:rowOff>
    </xdr:to>
    <xdr:sp>
      <xdr:nvSpPr>
        <xdr:cNvPr id="34" name="Line 38"/>
        <xdr:cNvSpPr>
          <a:spLocks/>
        </xdr:cNvSpPr>
      </xdr:nvSpPr>
      <xdr:spPr>
        <a:xfrm>
          <a:off x="2457450" y="23469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345</xdr:row>
      <xdr:rowOff>9525</xdr:rowOff>
    </xdr:from>
    <xdr:to>
      <xdr:col>5</xdr:col>
      <xdr:colOff>514350</xdr:colOff>
      <xdr:row>345</xdr:row>
      <xdr:rowOff>9525</xdr:rowOff>
    </xdr:to>
    <xdr:sp>
      <xdr:nvSpPr>
        <xdr:cNvPr id="35" name="Line 39"/>
        <xdr:cNvSpPr>
          <a:spLocks/>
        </xdr:cNvSpPr>
      </xdr:nvSpPr>
      <xdr:spPr>
        <a:xfrm>
          <a:off x="1819275" y="565118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345</xdr:row>
      <xdr:rowOff>19050</xdr:rowOff>
    </xdr:from>
    <xdr:to>
      <xdr:col>3</xdr:col>
      <xdr:colOff>133350</xdr:colOff>
      <xdr:row>348</xdr:row>
      <xdr:rowOff>19050</xdr:rowOff>
    </xdr:to>
    <xdr:sp>
      <xdr:nvSpPr>
        <xdr:cNvPr id="36" name="Line 49"/>
        <xdr:cNvSpPr>
          <a:spLocks/>
        </xdr:cNvSpPr>
      </xdr:nvSpPr>
      <xdr:spPr>
        <a:xfrm>
          <a:off x="1828800" y="56521350"/>
          <a:ext cx="133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342</xdr:row>
      <xdr:rowOff>133350</xdr:rowOff>
    </xdr:from>
    <xdr:to>
      <xdr:col>5</xdr:col>
      <xdr:colOff>361950</xdr:colOff>
      <xdr:row>345</xdr:row>
      <xdr:rowOff>0</xdr:rowOff>
    </xdr:to>
    <xdr:sp>
      <xdr:nvSpPr>
        <xdr:cNvPr id="37" name="Line 50"/>
        <xdr:cNvSpPr>
          <a:spLocks/>
        </xdr:cNvSpPr>
      </xdr:nvSpPr>
      <xdr:spPr>
        <a:xfrm flipV="1">
          <a:off x="1838325" y="56149875"/>
          <a:ext cx="1571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342</xdr:row>
      <xdr:rowOff>133350</xdr:rowOff>
    </xdr:from>
    <xdr:to>
      <xdr:col>5</xdr:col>
      <xdr:colOff>485775</xdr:colOff>
      <xdr:row>345</xdr:row>
      <xdr:rowOff>0</xdr:rowOff>
    </xdr:to>
    <xdr:sp>
      <xdr:nvSpPr>
        <xdr:cNvPr id="38" name="Line 51"/>
        <xdr:cNvSpPr>
          <a:spLocks/>
        </xdr:cNvSpPr>
      </xdr:nvSpPr>
      <xdr:spPr>
        <a:xfrm>
          <a:off x="3400425" y="56149875"/>
          <a:ext cx="133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345</xdr:row>
      <xdr:rowOff>0</xdr:rowOff>
    </xdr:from>
    <xdr:to>
      <xdr:col>3</xdr:col>
      <xdr:colOff>152400</xdr:colOff>
      <xdr:row>346</xdr:row>
      <xdr:rowOff>9525</xdr:rowOff>
    </xdr:to>
    <xdr:sp>
      <xdr:nvSpPr>
        <xdr:cNvPr id="39" name="Arc 52"/>
        <xdr:cNvSpPr>
          <a:spLocks/>
        </xdr:cNvSpPr>
      </xdr:nvSpPr>
      <xdr:spPr>
        <a:xfrm flipV="1">
          <a:off x="1866900" y="56502300"/>
          <a:ext cx="114300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342</xdr:row>
      <xdr:rowOff>114300</xdr:rowOff>
    </xdr:from>
    <xdr:to>
      <xdr:col>5</xdr:col>
      <xdr:colOff>390525</xdr:colOff>
      <xdr:row>343</xdr:row>
      <xdr:rowOff>85725</xdr:rowOff>
    </xdr:to>
    <xdr:sp>
      <xdr:nvSpPr>
        <xdr:cNvPr id="40" name="Line 53"/>
        <xdr:cNvSpPr>
          <a:spLocks/>
        </xdr:cNvSpPr>
      </xdr:nvSpPr>
      <xdr:spPr>
        <a:xfrm>
          <a:off x="3400425" y="561308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9</xdr:col>
      <xdr:colOff>9525</xdr:colOff>
      <xdr:row>147</xdr:row>
      <xdr:rowOff>9525</xdr:rowOff>
    </xdr:to>
    <xdr:pic>
      <xdr:nvPicPr>
        <xdr:cNvPr id="4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659975"/>
          <a:ext cx="4886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392</xdr:row>
      <xdr:rowOff>19050</xdr:rowOff>
    </xdr:from>
    <xdr:to>
      <xdr:col>7</xdr:col>
      <xdr:colOff>66675</xdr:colOff>
      <xdr:row>411</xdr:row>
      <xdr:rowOff>142875</xdr:rowOff>
    </xdr:to>
    <xdr:graphicFrame>
      <xdr:nvGraphicFramePr>
        <xdr:cNvPr id="42" name="Chart 57"/>
        <xdr:cNvGraphicFramePr/>
      </xdr:nvGraphicFramePr>
      <xdr:xfrm>
        <a:off x="1171575" y="64131825"/>
        <a:ext cx="31623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499</xdr:row>
      <xdr:rowOff>9525</xdr:rowOff>
    </xdr:from>
    <xdr:to>
      <xdr:col>4</xdr:col>
      <xdr:colOff>0</xdr:colOff>
      <xdr:row>503</xdr:row>
      <xdr:rowOff>152400</xdr:rowOff>
    </xdr:to>
    <xdr:sp>
      <xdr:nvSpPr>
        <xdr:cNvPr id="43" name="Line 60"/>
        <xdr:cNvSpPr>
          <a:spLocks/>
        </xdr:cNvSpPr>
      </xdr:nvSpPr>
      <xdr:spPr>
        <a:xfrm flipV="1">
          <a:off x="2438400" y="814673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503</xdr:row>
      <xdr:rowOff>142875</xdr:rowOff>
    </xdr:from>
    <xdr:to>
      <xdr:col>6</xdr:col>
      <xdr:colOff>247650</xdr:colOff>
      <xdr:row>503</xdr:row>
      <xdr:rowOff>142875</xdr:rowOff>
    </xdr:to>
    <xdr:sp>
      <xdr:nvSpPr>
        <xdr:cNvPr id="44" name="Line 61"/>
        <xdr:cNvSpPr>
          <a:spLocks/>
        </xdr:cNvSpPr>
      </xdr:nvSpPr>
      <xdr:spPr>
        <a:xfrm>
          <a:off x="2447925" y="82248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499</xdr:row>
      <xdr:rowOff>9525</xdr:rowOff>
    </xdr:from>
    <xdr:to>
      <xdr:col>6</xdr:col>
      <xdr:colOff>342900</xdr:colOff>
      <xdr:row>499</xdr:row>
      <xdr:rowOff>9525</xdr:rowOff>
    </xdr:to>
    <xdr:sp>
      <xdr:nvSpPr>
        <xdr:cNvPr id="45" name="Line 62"/>
        <xdr:cNvSpPr>
          <a:spLocks/>
        </xdr:cNvSpPr>
      </xdr:nvSpPr>
      <xdr:spPr>
        <a:xfrm flipV="1">
          <a:off x="2762250" y="81467325"/>
          <a:ext cx="1238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499</xdr:row>
      <xdr:rowOff>47625</xdr:rowOff>
    </xdr:from>
    <xdr:to>
      <xdr:col>6</xdr:col>
      <xdr:colOff>381000</xdr:colOff>
      <xdr:row>503</xdr:row>
      <xdr:rowOff>142875</xdr:rowOff>
    </xdr:to>
    <xdr:sp>
      <xdr:nvSpPr>
        <xdr:cNvPr id="46" name="Line 63"/>
        <xdr:cNvSpPr>
          <a:spLocks/>
        </xdr:cNvSpPr>
      </xdr:nvSpPr>
      <xdr:spPr>
        <a:xfrm flipV="1">
          <a:off x="2457450" y="81505425"/>
          <a:ext cx="1581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499</xdr:row>
      <xdr:rowOff>19050</xdr:rowOff>
    </xdr:from>
    <xdr:to>
      <xdr:col>4</xdr:col>
      <xdr:colOff>314325</xdr:colOff>
      <xdr:row>499</xdr:row>
      <xdr:rowOff>28575</xdr:rowOff>
    </xdr:to>
    <xdr:sp>
      <xdr:nvSpPr>
        <xdr:cNvPr id="47" name="Line 64"/>
        <xdr:cNvSpPr>
          <a:spLocks/>
        </xdr:cNvSpPr>
      </xdr:nvSpPr>
      <xdr:spPr>
        <a:xfrm flipV="1">
          <a:off x="2447925" y="814768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502</xdr:row>
      <xdr:rowOff>85725</xdr:rowOff>
    </xdr:from>
    <xdr:to>
      <xdr:col>5</xdr:col>
      <xdr:colOff>66675</xdr:colOff>
      <xdr:row>504</xdr:row>
      <xdr:rowOff>142875</xdr:rowOff>
    </xdr:to>
    <xdr:sp>
      <xdr:nvSpPr>
        <xdr:cNvPr id="48" name="Arc 81"/>
        <xdr:cNvSpPr>
          <a:spLocks/>
        </xdr:cNvSpPr>
      </xdr:nvSpPr>
      <xdr:spPr>
        <a:xfrm>
          <a:off x="2943225" y="82029300"/>
          <a:ext cx="171450" cy="381000"/>
        </a:xfrm>
        <a:custGeom>
          <a:pathLst>
            <a:path fill="none" h="21600" w="19641">
              <a:moveTo>
                <a:pt x="-1" y="0"/>
              </a:moveTo>
              <a:cubicBezTo>
                <a:pt x="8450" y="0"/>
                <a:pt x="16125" y="4928"/>
                <a:pt x="19641" y="12612"/>
              </a:cubicBezTo>
            </a:path>
            <a:path stroke="0" h="21600" w="19641">
              <a:moveTo>
                <a:pt x="-1" y="0"/>
              </a:moveTo>
              <a:cubicBezTo>
                <a:pt x="8450" y="0"/>
                <a:pt x="16125" y="4928"/>
                <a:pt x="19641" y="12612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ctrical-gate/indulkar/chapter1.xls#a93" TargetMode="External" /><Relationship Id="rId2" Type="http://schemas.openxmlformats.org/officeDocument/2006/relationships/hyperlink" Target="http://electrical-gate/indulkar/chapter1.xls#a134" TargetMode="External" /><Relationship Id="rId3" Type="http://schemas.openxmlformats.org/officeDocument/2006/relationships/hyperlink" Target="http://electrical-gate/indulkar/chapter1.xls#a185" TargetMode="External" /><Relationship Id="rId4" Type="http://schemas.openxmlformats.org/officeDocument/2006/relationships/hyperlink" Target="http://cindulkar.tripod.com/index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3"/>
  <sheetViews>
    <sheetView tabSelected="1" zoomScalePageLayoutView="0" workbookViewId="0" topLeftCell="A1">
      <selection activeCell="A6" sqref="A6"/>
    </sheetView>
  </sheetViews>
  <sheetFormatPr defaultColWidth="9.140625" defaultRowHeight="12.75"/>
  <sheetData>
    <row r="1" spans="4:8" ht="15.75">
      <c r="D1" s="12" t="s">
        <v>105</v>
      </c>
      <c r="F1" s="25"/>
      <c r="G1" s="26"/>
      <c r="H1" s="27"/>
    </row>
    <row r="2" spans="1:9" ht="18">
      <c r="A2" s="1" t="s">
        <v>102</v>
      </c>
      <c r="B2" s="1"/>
      <c r="C2" s="1"/>
      <c r="D2" s="1"/>
      <c r="E2" s="1"/>
      <c r="F2" s="15"/>
      <c r="H2" s="26"/>
      <c r="I2" s="26"/>
    </row>
    <row r="3" spans="1:10" ht="18">
      <c r="A3" s="1" t="s">
        <v>103</v>
      </c>
      <c r="G3" s="28"/>
      <c r="H3" s="28"/>
      <c r="I3" s="28"/>
      <c r="J3" s="28"/>
    </row>
    <row r="4" spans="1:10" ht="18">
      <c r="A4" s="6" t="s">
        <v>0</v>
      </c>
      <c r="B4" s="2"/>
      <c r="C4" s="2"/>
      <c r="D4" s="6" t="s">
        <v>1</v>
      </c>
      <c r="E4" s="1"/>
      <c r="G4" s="28"/>
      <c r="H4" s="28"/>
      <c r="I4" s="28"/>
      <c r="J4" s="28"/>
    </row>
    <row r="5" spans="1:10" ht="12.75">
      <c r="A5" s="4">
        <v>1.1</v>
      </c>
      <c r="D5" s="11" t="s">
        <v>300</v>
      </c>
      <c r="I5" s="28"/>
      <c r="J5" s="28"/>
    </row>
    <row r="6" spans="1:10" ht="12.75">
      <c r="A6" s="4">
        <v>1.2</v>
      </c>
      <c r="D6" s="11" t="s">
        <v>301</v>
      </c>
      <c r="J6" s="28"/>
    </row>
    <row r="7" spans="1:10" ht="12.75">
      <c r="A7" s="4">
        <v>1.3</v>
      </c>
      <c r="C7" s="11"/>
      <c r="D7" s="11" t="s">
        <v>302</v>
      </c>
      <c r="E7" s="11"/>
      <c r="F7" s="11"/>
      <c r="G7" s="11"/>
      <c r="J7" s="28"/>
    </row>
    <row r="8" spans="1:10" ht="12.75">
      <c r="A8" s="4">
        <v>1.4</v>
      </c>
      <c r="D8" s="13" t="s">
        <v>3</v>
      </c>
      <c r="E8" s="11"/>
      <c r="F8" s="11"/>
      <c r="J8" s="28"/>
    </row>
    <row r="9" spans="1:6" ht="12.75">
      <c r="A9" s="4">
        <v>1.5</v>
      </c>
      <c r="D9" s="11" t="s">
        <v>106</v>
      </c>
      <c r="E9" s="11"/>
      <c r="F9" s="11"/>
    </row>
    <row r="10" spans="1:8" ht="12.75">
      <c r="A10" s="4">
        <v>1.6</v>
      </c>
      <c r="D10" s="11" t="s">
        <v>132</v>
      </c>
      <c r="E10" s="11"/>
      <c r="F10" s="11"/>
      <c r="G10" s="11"/>
      <c r="H10" s="11"/>
    </row>
    <row r="11" spans="1:4" ht="12.75">
      <c r="A11" s="4">
        <v>1.7</v>
      </c>
      <c r="D11" s="11" t="s">
        <v>133</v>
      </c>
    </row>
    <row r="12" spans="1:4" ht="12.75">
      <c r="A12" s="4">
        <v>1.8</v>
      </c>
      <c r="D12" s="11" t="s">
        <v>190</v>
      </c>
    </row>
    <row r="13" spans="1:4" ht="12.75">
      <c r="A13" s="4">
        <v>1.9</v>
      </c>
      <c r="D13" s="11" t="s">
        <v>214</v>
      </c>
    </row>
    <row r="14" spans="1:4" ht="12.75">
      <c r="A14" s="19">
        <v>1.1</v>
      </c>
      <c r="D14" s="11" t="s">
        <v>244</v>
      </c>
    </row>
    <row r="15" spans="1:4" ht="12.75">
      <c r="A15" s="4">
        <v>1.11</v>
      </c>
      <c r="D15" s="11" t="s">
        <v>334</v>
      </c>
    </row>
    <row r="16" spans="1:4" ht="12.75">
      <c r="A16" s="4">
        <v>1.12</v>
      </c>
      <c r="D16" s="11" t="s">
        <v>335</v>
      </c>
    </row>
    <row r="17" spans="1:4" ht="12.75">
      <c r="A17" s="4">
        <v>1.13</v>
      </c>
      <c r="D17" s="11" t="s">
        <v>365</v>
      </c>
    </row>
    <row r="18" spans="1:4" ht="12.75">
      <c r="A18" s="4">
        <v>1.14</v>
      </c>
      <c r="D18" s="11" t="s">
        <v>395</v>
      </c>
    </row>
    <row r="19" spans="1:2" ht="12.75">
      <c r="A19" s="11" t="s">
        <v>305</v>
      </c>
      <c r="B19" s="34" t="s">
        <v>303</v>
      </c>
    </row>
    <row r="20" spans="1:9" ht="18">
      <c r="A20" s="33"/>
      <c r="B20" s="34" t="s">
        <v>304</v>
      </c>
      <c r="C20" s="2"/>
      <c r="D20" s="2"/>
      <c r="E20" s="2"/>
      <c r="F20" s="2"/>
      <c r="G20" s="3"/>
      <c r="H20" s="1"/>
      <c r="I20" s="1"/>
    </row>
    <row r="21" spans="1:9" ht="18">
      <c r="A21" s="4"/>
      <c r="D21" s="11"/>
      <c r="E21" s="11"/>
      <c r="G21" s="4"/>
      <c r="H21" s="1"/>
      <c r="I21" s="1"/>
    </row>
    <row r="22" spans="1:9" ht="18">
      <c r="A22" s="4"/>
      <c r="D22" s="11"/>
      <c r="E22" s="11"/>
      <c r="F22" s="11"/>
      <c r="G22" s="1"/>
      <c r="H22" s="1"/>
      <c r="I22" s="1"/>
    </row>
    <row r="23" spans="1:9" ht="18">
      <c r="A23" s="4"/>
      <c r="D23" s="11"/>
      <c r="E23" s="11"/>
      <c r="F23" s="1"/>
      <c r="G23" s="1"/>
      <c r="H23" s="1"/>
      <c r="I23" s="1"/>
    </row>
    <row r="24" spans="8:9" ht="18">
      <c r="H24" s="5"/>
      <c r="I24" s="1"/>
    </row>
    <row r="25" ht="18">
      <c r="I25" s="1"/>
    </row>
    <row r="26" spans="1:4" ht="12.75">
      <c r="A26" t="s">
        <v>4</v>
      </c>
      <c r="B26" s="3" t="s">
        <v>5</v>
      </c>
      <c r="C26" s="2"/>
      <c r="D26" s="2"/>
    </row>
    <row r="27" spans="2:9" ht="12.75">
      <c r="B27" s="29" t="s">
        <v>6</v>
      </c>
      <c r="C27" s="7"/>
      <c r="D27" s="7"/>
      <c r="E27" s="7"/>
      <c r="F27" s="7"/>
      <c r="G27" s="7"/>
      <c r="H27" s="7"/>
      <c r="I27" s="7"/>
    </row>
    <row r="28" spans="2:9" ht="12.75">
      <c r="B28" s="29" t="s">
        <v>7</v>
      </c>
      <c r="C28" s="7"/>
      <c r="D28" s="7"/>
      <c r="E28" s="7"/>
      <c r="F28" s="7"/>
      <c r="G28" s="7"/>
      <c r="H28" s="7"/>
      <c r="I28" s="7"/>
    </row>
    <row r="29" spans="2:9" ht="12.75">
      <c r="B29" s="30" t="s">
        <v>8</v>
      </c>
      <c r="C29" s="7"/>
      <c r="D29" s="7"/>
      <c r="E29" s="7"/>
      <c r="F29" s="7"/>
      <c r="G29" s="7"/>
      <c r="H29" s="7"/>
      <c r="I29" s="7"/>
    </row>
    <row r="30" spans="2:9" ht="12.75">
      <c r="B30" s="29" t="s">
        <v>9</v>
      </c>
      <c r="C30" s="7"/>
      <c r="D30" s="7"/>
      <c r="E30" s="7"/>
      <c r="F30" s="7"/>
      <c r="G30" s="7"/>
      <c r="H30" s="7"/>
      <c r="I30" s="7"/>
    </row>
    <row r="32" spans="1:2" ht="12.75">
      <c r="A32" t="s">
        <v>10</v>
      </c>
      <c r="B32" t="s">
        <v>11</v>
      </c>
    </row>
    <row r="33" spans="3:4" ht="12.75">
      <c r="C33" t="s">
        <v>12</v>
      </c>
      <c r="D33">
        <v>125</v>
      </c>
    </row>
    <row r="34" spans="3:4" ht="12.75">
      <c r="C34" s="8" t="s">
        <v>13</v>
      </c>
      <c r="D34" s="8" t="s">
        <v>14</v>
      </c>
    </row>
    <row r="35" spans="3:4" ht="12.75">
      <c r="C35" s="8" t="s">
        <v>15</v>
      </c>
      <c r="D35" s="8" t="s">
        <v>16</v>
      </c>
    </row>
    <row r="36" ht="12.75">
      <c r="C36" s="5" t="s">
        <v>17</v>
      </c>
    </row>
    <row r="37" spans="4:6" ht="12.75">
      <c r="D37">
        <f>0.9*D33</f>
        <v>112.5</v>
      </c>
      <c r="E37" t="s">
        <v>18</v>
      </c>
      <c r="F37" t="s">
        <v>19</v>
      </c>
    </row>
    <row r="38" spans="2:5" ht="12.75">
      <c r="B38" t="s">
        <v>20</v>
      </c>
      <c r="C38" t="s">
        <v>21</v>
      </c>
      <c r="D38">
        <v>1200</v>
      </c>
      <c r="E38" t="s">
        <v>22</v>
      </c>
    </row>
    <row r="39" spans="3:5" ht="12.75">
      <c r="C39" t="s">
        <v>23</v>
      </c>
      <c r="D39">
        <v>1100</v>
      </c>
      <c r="E39" t="s">
        <v>22</v>
      </c>
    </row>
    <row r="40" ht="12.75">
      <c r="C40" t="s">
        <v>24</v>
      </c>
    </row>
    <row r="41" spans="4:6" ht="12.75">
      <c r="D41">
        <f>D33*D39/D38</f>
        <v>114.58333333333333</v>
      </c>
      <c r="E41" t="s">
        <v>25</v>
      </c>
      <c r="F41" t="s">
        <v>19</v>
      </c>
    </row>
    <row r="42" ht="12.75">
      <c r="E42" s="11" t="s">
        <v>101</v>
      </c>
    </row>
    <row r="43" spans="1:2" ht="12.75">
      <c r="A43" s="2" t="s">
        <v>26</v>
      </c>
      <c r="B43" s="9" t="s">
        <v>2</v>
      </c>
    </row>
    <row r="44" spans="1:6" ht="12.75">
      <c r="B44" s="31" t="s">
        <v>27</v>
      </c>
      <c r="C44" s="31"/>
      <c r="D44" s="31"/>
      <c r="E44" s="31"/>
      <c r="F44" s="31"/>
    </row>
    <row r="45" spans="2:6" ht="12.75">
      <c r="B45" s="29" t="s">
        <v>28</v>
      </c>
      <c r="C45" s="31"/>
      <c r="D45" s="31"/>
      <c r="E45" s="31"/>
      <c r="F45" s="31"/>
    </row>
    <row r="46" spans="2:6" ht="12.75">
      <c r="B46" s="29" t="s">
        <v>29</v>
      </c>
      <c r="C46" s="31"/>
      <c r="D46" s="31"/>
      <c r="E46" s="31"/>
      <c r="F46" s="31"/>
    </row>
    <row r="47" spans="2:6" ht="12.75">
      <c r="B47" s="29" t="s">
        <v>298</v>
      </c>
      <c r="C47" s="31"/>
      <c r="D47" s="31"/>
      <c r="E47" s="31"/>
      <c r="F47" s="31"/>
    </row>
    <row r="48" spans="2:6" ht="12.75">
      <c r="B48" s="29" t="s">
        <v>299</v>
      </c>
      <c r="C48" s="31"/>
      <c r="D48" s="31"/>
      <c r="E48" s="31"/>
      <c r="F48" s="31"/>
    </row>
    <row r="50" spans="1:5" ht="12.75">
      <c r="A50" t="s">
        <v>10</v>
      </c>
      <c r="B50" t="s">
        <v>30</v>
      </c>
      <c r="D50">
        <v>50000</v>
      </c>
      <c r="E50" t="s">
        <v>31</v>
      </c>
    </row>
    <row r="51" spans="2:5" ht="12.75">
      <c r="B51" t="s">
        <v>32</v>
      </c>
      <c r="D51">
        <v>460</v>
      </c>
      <c r="E51" t="s">
        <v>33</v>
      </c>
    </row>
    <row r="52" ht="12.75">
      <c r="B52" s="7" t="s">
        <v>34</v>
      </c>
    </row>
    <row r="53" spans="4:5" ht="12.75">
      <c r="D53">
        <f>D50/D51</f>
        <v>108.69565217391305</v>
      </c>
      <c r="E53" t="s">
        <v>35</v>
      </c>
    </row>
    <row r="54" spans="2:5" ht="12.75">
      <c r="B54" s="7" t="s">
        <v>36</v>
      </c>
      <c r="D54">
        <f>D50/D51</f>
        <v>108.69565217391305</v>
      </c>
      <c r="E54" t="s">
        <v>35</v>
      </c>
    </row>
    <row r="55" ht="12.75">
      <c r="B55" s="7" t="s">
        <v>37</v>
      </c>
    </row>
    <row r="56" spans="4:5" ht="12.75">
      <c r="D56">
        <f>D51/D60</f>
        <v>4.6</v>
      </c>
      <c r="E56" t="s">
        <v>35</v>
      </c>
    </row>
    <row r="57" ht="12.75">
      <c r="B57" t="s">
        <v>38</v>
      </c>
    </row>
    <row r="58" ht="12.75">
      <c r="D58">
        <f>D53+D56</f>
        <v>113.29565217391304</v>
      </c>
    </row>
    <row r="59" spans="2:5" ht="12.75">
      <c r="B59" t="s">
        <v>39</v>
      </c>
      <c r="D59">
        <v>0.04</v>
      </c>
      <c r="E59" t="s">
        <v>40</v>
      </c>
    </row>
    <row r="60" spans="2:5" ht="12.75">
      <c r="B60" t="s">
        <v>41</v>
      </c>
      <c r="D60">
        <v>100</v>
      </c>
      <c r="E60" t="s">
        <v>42</v>
      </c>
    </row>
    <row r="61" ht="12.75">
      <c r="B61" t="s">
        <v>43</v>
      </c>
    </row>
    <row r="62" spans="4:5" ht="12.75">
      <c r="D62">
        <f>D51+D58*D59</f>
        <v>464.5318260869565</v>
      </c>
      <c r="E62" t="s">
        <v>33</v>
      </c>
    </row>
    <row r="63" ht="12.75">
      <c r="B63" t="s">
        <v>44</v>
      </c>
    </row>
    <row r="64" spans="4:5" ht="12.75">
      <c r="D64">
        <f>D54-D56</f>
        <v>104.09565217391305</v>
      </c>
      <c r="E64" t="s">
        <v>35</v>
      </c>
    </row>
    <row r="65" ht="12.75">
      <c r="B65" s="5" t="s">
        <v>45</v>
      </c>
    </row>
    <row r="66" ht="12.75">
      <c r="D66">
        <f>D51-D64*D59</f>
        <v>455.83617391304347</v>
      </c>
    </row>
    <row r="67" ht="12.75">
      <c r="B67" t="s">
        <v>46</v>
      </c>
    </row>
    <row r="68" spans="2:5" ht="12.75">
      <c r="B68" t="s">
        <v>47</v>
      </c>
      <c r="D68">
        <v>600</v>
      </c>
      <c r="E68" t="s">
        <v>22</v>
      </c>
    </row>
    <row r="69" ht="12.75">
      <c r="B69" s="7" t="s">
        <v>48</v>
      </c>
    </row>
    <row r="70" spans="4:5" ht="12.75">
      <c r="D70">
        <f>D68*D66/D62</f>
        <v>588.7684954800682</v>
      </c>
      <c r="E70" t="s">
        <v>22</v>
      </c>
    </row>
    <row r="71" ht="12.75">
      <c r="B71" s="5" t="s">
        <v>49</v>
      </c>
    </row>
    <row r="72" ht="12.75">
      <c r="B72" s="5" t="s">
        <v>50</v>
      </c>
    </row>
    <row r="73" ht="12.75">
      <c r="B73" s="7" t="s">
        <v>51</v>
      </c>
    </row>
    <row r="74" ht="12.75">
      <c r="B74" s="7" t="s">
        <v>52</v>
      </c>
    </row>
    <row r="75" ht="12.75">
      <c r="E75" s="11" t="s">
        <v>101</v>
      </c>
    </row>
    <row r="76" spans="1:2" ht="12.75">
      <c r="A76" s="3" t="s">
        <v>53</v>
      </c>
      <c r="B76" s="9" t="s">
        <v>104</v>
      </c>
    </row>
    <row r="77" spans="1:2" ht="12.75">
      <c r="B77" s="29" t="s">
        <v>54</v>
      </c>
    </row>
    <row r="78" spans="1:2" ht="12.75">
      <c r="B78" s="30" t="s">
        <v>55</v>
      </c>
    </row>
    <row r="79" ht="12.75">
      <c r="B79" s="30" t="s">
        <v>56</v>
      </c>
    </row>
    <row r="80" ht="12.75">
      <c r="A80" t="s">
        <v>10</v>
      </c>
    </row>
    <row r="81" spans="2:4" ht="12.75">
      <c r="B81" t="s">
        <v>57</v>
      </c>
      <c r="D81">
        <v>240</v>
      </c>
    </row>
    <row r="82" spans="2:4" ht="12.75">
      <c r="B82" t="s">
        <v>58</v>
      </c>
      <c r="D82">
        <v>24</v>
      </c>
    </row>
    <row r="83" spans="2:4" ht="12.75">
      <c r="B83" t="s">
        <v>39</v>
      </c>
      <c r="D83">
        <v>0.68</v>
      </c>
    </row>
    <row r="84" spans="2:6" ht="12.75">
      <c r="B84" t="s">
        <v>59</v>
      </c>
      <c r="D84">
        <f>D81-D82*D83</f>
        <v>223.68</v>
      </c>
      <c r="E84" t="s">
        <v>18</v>
      </c>
      <c r="F84" t="s">
        <v>19</v>
      </c>
    </row>
    <row r="85" ht="12.75">
      <c r="B85" t="s">
        <v>60</v>
      </c>
    </row>
    <row r="86" spans="4:6" ht="12.75">
      <c r="D86">
        <f>D84*D82</f>
        <v>5368.32</v>
      </c>
      <c r="E86" t="s">
        <v>61</v>
      </c>
      <c r="F86" t="s">
        <v>19</v>
      </c>
    </row>
    <row r="87" spans="2:5" ht="12.75">
      <c r="B87" t="s">
        <v>62</v>
      </c>
      <c r="D87">
        <v>1000</v>
      </c>
      <c r="E87" t="s">
        <v>22</v>
      </c>
    </row>
    <row r="88" ht="12.75">
      <c r="B88" t="s">
        <v>63</v>
      </c>
    </row>
    <row r="89" spans="4:6" ht="12.75">
      <c r="D89">
        <f>60*D86/(2*3.1416*D87)</f>
        <v>51.26355996944232</v>
      </c>
      <c r="E89" t="s">
        <v>64</v>
      </c>
      <c r="F89" t="s">
        <v>19</v>
      </c>
    </row>
    <row r="90" ht="12.75">
      <c r="E90" s="11" t="s">
        <v>101</v>
      </c>
    </row>
    <row r="91" spans="1:7" ht="12.75">
      <c r="A91" s="3" t="s">
        <v>65</v>
      </c>
      <c r="B91" s="9" t="s">
        <v>3</v>
      </c>
      <c r="C91" s="2"/>
      <c r="D91" s="2"/>
      <c r="E91" s="2"/>
      <c r="F91" s="2"/>
      <c r="G91" s="2"/>
    </row>
    <row r="92" spans="1:2" ht="12.75">
      <c r="B92" s="30" t="s">
        <v>66</v>
      </c>
    </row>
    <row r="93" spans="1:2" ht="12.75">
      <c r="B93" s="29" t="s">
        <v>67</v>
      </c>
    </row>
    <row r="94" ht="12.75">
      <c r="B94" s="30" t="s">
        <v>68</v>
      </c>
    </row>
    <row r="95" ht="12.75">
      <c r="B95" s="30" t="s">
        <v>69</v>
      </c>
    </row>
    <row r="96" ht="12.75">
      <c r="A96" t="s">
        <v>10</v>
      </c>
    </row>
    <row r="97" spans="2:4" ht="12.75">
      <c r="B97" t="s">
        <v>57</v>
      </c>
      <c r="D97">
        <v>440</v>
      </c>
    </row>
    <row r="98" spans="2:4" ht="12.75">
      <c r="B98" s="5" t="s">
        <v>70</v>
      </c>
      <c r="D98">
        <v>20</v>
      </c>
    </row>
    <row r="99" spans="2:4" ht="12.75">
      <c r="B99" t="s">
        <v>39</v>
      </c>
      <c r="D99">
        <v>0.6</v>
      </c>
    </row>
    <row r="100" spans="2:5" ht="12.75">
      <c r="B100" t="s">
        <v>71</v>
      </c>
      <c r="D100">
        <f>D97-D98*D99</f>
        <v>428</v>
      </c>
      <c r="E100" t="s">
        <v>18</v>
      </c>
    </row>
    <row r="101" spans="2:4" ht="12.75">
      <c r="B101" s="8" t="s">
        <v>13</v>
      </c>
      <c r="C101" s="8"/>
      <c r="D101" s="8" t="s">
        <v>14</v>
      </c>
    </row>
    <row r="102" spans="2:4" ht="12.75">
      <c r="B102" s="8" t="s">
        <v>15</v>
      </c>
      <c r="C102" s="8"/>
      <c r="D102" s="8" t="s">
        <v>72</v>
      </c>
    </row>
    <row r="103" ht="12.75">
      <c r="B103" t="s">
        <v>73</v>
      </c>
    </row>
    <row r="104" spans="2:6" ht="12.75">
      <c r="B104" s="5" t="s">
        <v>74</v>
      </c>
      <c r="D104">
        <f>D100*0.7</f>
        <v>299.59999999999997</v>
      </c>
      <c r="E104" s="5" t="s">
        <v>25</v>
      </c>
      <c r="F104" t="s">
        <v>19</v>
      </c>
    </row>
    <row r="105" spans="2:4" ht="12.75">
      <c r="B105" t="s">
        <v>75</v>
      </c>
      <c r="D105" t="s">
        <v>76</v>
      </c>
    </row>
    <row r="106" spans="2:4" ht="12.75">
      <c r="B106" t="s">
        <v>77</v>
      </c>
      <c r="D106" t="s">
        <v>78</v>
      </c>
    </row>
    <row r="107" ht="12.75">
      <c r="B107" t="s">
        <v>79</v>
      </c>
    </row>
    <row r="108" spans="2:5" ht="12.75">
      <c r="B108" t="s">
        <v>80</v>
      </c>
      <c r="D108">
        <v>500</v>
      </c>
      <c r="E108" t="s">
        <v>81</v>
      </c>
    </row>
    <row r="109" spans="2:4" ht="12.75">
      <c r="B109" t="s">
        <v>82</v>
      </c>
      <c r="D109" t="s">
        <v>83</v>
      </c>
    </row>
    <row r="110" spans="2:4" ht="12.75">
      <c r="B110" s="5"/>
      <c r="D110" s="10"/>
    </row>
    <row r="111" ht="12.75">
      <c r="B111" t="s">
        <v>84</v>
      </c>
    </row>
    <row r="112" ht="12.75">
      <c r="B112" t="s">
        <v>85</v>
      </c>
    </row>
    <row r="113" ht="12.75">
      <c r="B113" t="s">
        <v>86</v>
      </c>
    </row>
    <row r="114" spans="4:6" ht="12.75">
      <c r="D114">
        <f>1.4*(D98/D108)*(D100/D104)</f>
        <v>0.08</v>
      </c>
      <c r="F114" t="s">
        <v>87</v>
      </c>
    </row>
    <row r="115" ht="12.75">
      <c r="B115" t="s">
        <v>88</v>
      </c>
    </row>
    <row r="116" spans="2:5" ht="12.75">
      <c r="B116" t="s">
        <v>89</v>
      </c>
      <c r="D116">
        <f>(D97-D104)/D99</f>
        <v>234.00000000000006</v>
      </c>
      <c r="E116" t="s">
        <v>90</v>
      </c>
    </row>
    <row r="117" ht="12.75">
      <c r="B117" s="5" t="s">
        <v>91</v>
      </c>
    </row>
    <row r="118" ht="12.75">
      <c r="B118" s="5" t="s">
        <v>92</v>
      </c>
    </row>
    <row r="119" ht="12.75">
      <c r="D119" t="s">
        <v>93</v>
      </c>
    </row>
    <row r="120" ht="12.75">
      <c r="B120" t="s">
        <v>94</v>
      </c>
    </row>
    <row r="121" spans="2:6" ht="12.75">
      <c r="B121" t="s">
        <v>95</v>
      </c>
      <c r="D121">
        <f>428*0.7/(500)</f>
        <v>0.5992</v>
      </c>
      <c r="F121" t="s">
        <v>96</v>
      </c>
    </row>
    <row r="122" ht="12.75">
      <c r="B122" t="s">
        <v>97</v>
      </c>
    </row>
    <row r="123" spans="2:4" ht="12.75">
      <c r="B123" t="s">
        <v>98</v>
      </c>
      <c r="D123">
        <f>0.5992/0.08</f>
        <v>7.489999999999999</v>
      </c>
    </row>
    <row r="124" ht="12.75">
      <c r="B124" t="s">
        <v>94</v>
      </c>
    </row>
    <row r="125" spans="2:5" ht="12.75">
      <c r="B125" t="s">
        <v>99</v>
      </c>
      <c r="D125">
        <f>440/8.09</f>
        <v>54.38813349814586</v>
      </c>
      <c r="E125" t="s">
        <v>90</v>
      </c>
    </row>
    <row r="126" ht="12.75">
      <c r="B126" t="s">
        <v>100</v>
      </c>
    </row>
    <row r="127" spans="2:6" ht="12.75">
      <c r="B127" t="s">
        <v>23</v>
      </c>
      <c r="D127">
        <f>D125/0.08</f>
        <v>679.8516687268233</v>
      </c>
      <c r="E127" t="s">
        <v>22</v>
      </c>
      <c r="F127" t="s">
        <v>19</v>
      </c>
    </row>
    <row r="128" ht="12.75">
      <c r="E128" s="11" t="s">
        <v>101</v>
      </c>
    </row>
    <row r="130" spans="1:6" ht="12.75">
      <c r="A130" s="14" t="s">
        <v>107</v>
      </c>
      <c r="B130" s="15" t="s">
        <v>106</v>
      </c>
      <c r="C130" s="15"/>
      <c r="E130" s="15"/>
      <c r="F130" s="15"/>
    </row>
    <row r="131" ht="12.75">
      <c r="B131" s="31" t="s">
        <v>278</v>
      </c>
    </row>
    <row r="132" ht="12.75">
      <c r="B132" s="31" t="s">
        <v>279</v>
      </c>
    </row>
    <row r="133" spans="2:7" ht="12.75">
      <c r="B133" s="31" t="s">
        <v>277</v>
      </c>
      <c r="G133" s="31" t="s">
        <v>281</v>
      </c>
    </row>
    <row r="134" spans="1:2" ht="12.75">
      <c r="B134" s="28" t="s">
        <v>280</v>
      </c>
    </row>
    <row r="135" ht="12.75">
      <c r="B135" s="31"/>
    </row>
    <row r="136" ht="12.75">
      <c r="A136" s="15" t="s">
        <v>10</v>
      </c>
    </row>
    <row r="138" spans="4:5" ht="12.75">
      <c r="D138" t="s">
        <v>110</v>
      </c>
      <c r="E138" s="4" t="s">
        <v>113</v>
      </c>
    </row>
    <row r="140" ht="12.75">
      <c r="H140" t="s">
        <v>109</v>
      </c>
    </row>
    <row r="141" ht="12.75">
      <c r="D141" s="16" t="s">
        <v>111</v>
      </c>
    </row>
    <row r="143" ht="12.75">
      <c r="E143" t="s">
        <v>114</v>
      </c>
    </row>
    <row r="144" ht="12.75">
      <c r="C144" t="s">
        <v>112</v>
      </c>
    </row>
    <row r="146" ht="12.75">
      <c r="D146" s="16" t="s">
        <v>108</v>
      </c>
    </row>
    <row r="149" spans="2:3" ht="12.75">
      <c r="B149" t="s">
        <v>115</v>
      </c>
      <c r="C149" t="s">
        <v>116</v>
      </c>
    </row>
    <row r="150" spans="4:5" ht="12.75">
      <c r="D150">
        <v>25000</v>
      </c>
      <c r="E150" t="s">
        <v>31</v>
      </c>
    </row>
    <row r="151" spans="2:3" ht="12.75">
      <c r="B151" t="s">
        <v>33</v>
      </c>
      <c r="C151" t="s">
        <v>117</v>
      </c>
    </row>
    <row r="152" spans="4:5" ht="12.75">
      <c r="D152">
        <v>500</v>
      </c>
      <c r="E152" t="s">
        <v>18</v>
      </c>
    </row>
    <row r="153" spans="2:3" ht="12.75">
      <c r="B153" t="s">
        <v>112</v>
      </c>
      <c r="C153" t="s">
        <v>118</v>
      </c>
    </row>
    <row r="154" spans="4:5" ht="12.75">
      <c r="D154">
        <f>D150/D152</f>
        <v>50</v>
      </c>
      <c r="E154" t="s">
        <v>35</v>
      </c>
    </row>
    <row r="155" spans="2:3" ht="12.75">
      <c r="B155" t="s">
        <v>119</v>
      </c>
      <c r="C155" t="s">
        <v>120</v>
      </c>
    </row>
    <row r="156" spans="4:5" ht="12.75">
      <c r="D156">
        <v>200</v>
      </c>
      <c r="E156" t="s">
        <v>42</v>
      </c>
    </row>
    <row r="157" spans="2:3" ht="12.75">
      <c r="B157" t="s">
        <v>113</v>
      </c>
      <c r="C157" t="s">
        <v>121</v>
      </c>
    </row>
    <row r="158" spans="4:5" ht="12.75">
      <c r="D158">
        <f>D152/D156</f>
        <v>2.5</v>
      </c>
      <c r="E158" t="s">
        <v>35</v>
      </c>
    </row>
    <row r="159" spans="2:5" ht="12.75">
      <c r="B159" t="s">
        <v>114</v>
      </c>
      <c r="D159">
        <f>D154+D158</f>
        <v>52.5</v>
      </c>
      <c r="E159" t="s">
        <v>35</v>
      </c>
    </row>
    <row r="160" spans="2:3" ht="12.75">
      <c r="B160" t="s">
        <v>122</v>
      </c>
      <c r="C160" t="s">
        <v>123</v>
      </c>
    </row>
    <row r="161" spans="4:5" ht="12.75">
      <c r="D161">
        <v>0.04</v>
      </c>
      <c r="E161" t="s">
        <v>40</v>
      </c>
    </row>
    <row r="162" ht="12.75">
      <c r="B162" t="s">
        <v>124</v>
      </c>
    </row>
    <row r="163" spans="4:5" ht="12.75">
      <c r="D163">
        <f>D159*D161</f>
        <v>2.1</v>
      </c>
      <c r="E163" t="s">
        <v>33</v>
      </c>
    </row>
    <row r="164" spans="2:3" ht="12.75">
      <c r="B164" t="s">
        <v>126</v>
      </c>
      <c r="C164" t="s">
        <v>127</v>
      </c>
    </row>
    <row r="165" spans="4:5" ht="12.75">
      <c r="D165">
        <v>0.03</v>
      </c>
      <c r="E165" t="s">
        <v>40</v>
      </c>
    </row>
    <row r="166" ht="12.75">
      <c r="B166" t="s">
        <v>125</v>
      </c>
    </row>
    <row r="167" spans="4:5" ht="12.75">
      <c r="D167">
        <f>D159*D165</f>
        <v>1.575</v>
      </c>
      <c r="E167" t="s">
        <v>33</v>
      </c>
    </row>
    <row r="168" ht="12.75">
      <c r="B168" t="s">
        <v>128</v>
      </c>
    </row>
    <row r="169" spans="4:5" ht="12.75">
      <c r="D169">
        <f>2*0.9</f>
        <v>1.8</v>
      </c>
      <c r="E169" t="s">
        <v>33</v>
      </c>
    </row>
    <row r="170" ht="12.75">
      <c r="B170" t="s">
        <v>129</v>
      </c>
    </row>
    <row r="171" spans="4:5" ht="12.75">
      <c r="D171">
        <f>D163+D167+D169</f>
        <v>5.475</v>
      </c>
      <c r="E171" t="s">
        <v>33</v>
      </c>
    </row>
    <row r="172" spans="2:5" ht="12.75">
      <c r="B172" t="s">
        <v>131</v>
      </c>
      <c r="D172">
        <v>500</v>
      </c>
      <c r="E172" t="s">
        <v>33</v>
      </c>
    </row>
    <row r="174" ht="12.75">
      <c r="B174" t="s">
        <v>130</v>
      </c>
    </row>
    <row r="175" spans="4:6" ht="12.75">
      <c r="D175">
        <f>+D172+D171</f>
        <v>505.475</v>
      </c>
      <c r="E175" t="s">
        <v>33</v>
      </c>
      <c r="F175" t="s">
        <v>19</v>
      </c>
    </row>
    <row r="177" ht="12.75">
      <c r="E177" s="11" t="s">
        <v>101</v>
      </c>
    </row>
    <row r="179" spans="1:2" ht="12.75">
      <c r="A179" s="14" t="s">
        <v>134</v>
      </c>
      <c r="B179" s="15" t="s">
        <v>132</v>
      </c>
    </row>
    <row r="180" ht="12.75">
      <c r="B180" s="31" t="s">
        <v>282</v>
      </c>
    </row>
    <row r="181" ht="12.75">
      <c r="B181" s="31" t="s">
        <v>135</v>
      </c>
    </row>
    <row r="182" ht="12.75">
      <c r="B182" s="31" t="s">
        <v>185</v>
      </c>
    </row>
    <row r="183" ht="12.75">
      <c r="B183" s="31" t="s">
        <v>136</v>
      </c>
    </row>
    <row r="185" spans="1:2" ht="12.75">
      <c r="A185" s="15" t="s">
        <v>10</v>
      </c>
      <c r="B185" t="s">
        <v>137</v>
      </c>
    </row>
    <row r="186" spans="2:3" ht="12.75">
      <c r="B186" t="s">
        <v>33</v>
      </c>
      <c r="C186" t="s">
        <v>138</v>
      </c>
    </row>
    <row r="187" spans="2:3" ht="12.75">
      <c r="B187" t="s">
        <v>139</v>
      </c>
      <c r="C187" t="s">
        <v>140</v>
      </c>
    </row>
    <row r="188" spans="2:3" ht="12.75">
      <c r="B188" t="s">
        <v>141</v>
      </c>
      <c r="C188" t="s">
        <v>142</v>
      </c>
    </row>
    <row r="189" spans="2:6" ht="12.75">
      <c r="B189" t="s">
        <v>143</v>
      </c>
      <c r="C189" t="s">
        <v>144</v>
      </c>
      <c r="E189">
        <v>30</v>
      </c>
      <c r="F189" t="s">
        <v>42</v>
      </c>
    </row>
    <row r="190" spans="2:5" ht="12.75">
      <c r="B190" t="s">
        <v>186</v>
      </c>
      <c r="E190" t="s">
        <v>145</v>
      </c>
    </row>
    <row r="191" spans="2:6" ht="12.75">
      <c r="B191" t="s">
        <v>112</v>
      </c>
      <c r="C191" t="s">
        <v>147</v>
      </c>
      <c r="E191">
        <v>1000</v>
      </c>
      <c r="F191" t="s">
        <v>35</v>
      </c>
    </row>
    <row r="192" spans="2:7" ht="12.75">
      <c r="B192" t="s">
        <v>146</v>
      </c>
      <c r="E192" s="17" t="s">
        <v>148</v>
      </c>
      <c r="G192" t="s">
        <v>87</v>
      </c>
    </row>
    <row r="193" spans="2:6" ht="12.75">
      <c r="B193" t="s">
        <v>126</v>
      </c>
      <c r="E193">
        <v>0.02</v>
      </c>
      <c r="F193" t="s">
        <v>40</v>
      </c>
    </row>
    <row r="194" spans="2:6" ht="12.75">
      <c r="B194" t="s">
        <v>83</v>
      </c>
      <c r="C194" t="s">
        <v>149</v>
      </c>
      <c r="E194">
        <v>465</v>
      </c>
      <c r="F194" t="s">
        <v>18</v>
      </c>
    </row>
    <row r="195" spans="2:6" ht="12.75">
      <c r="B195" t="s">
        <v>150</v>
      </c>
      <c r="C195" t="s">
        <v>149</v>
      </c>
      <c r="E195">
        <v>460</v>
      </c>
      <c r="F195" t="s">
        <v>18</v>
      </c>
    </row>
    <row r="196" ht="12.75">
      <c r="B196" t="s">
        <v>151</v>
      </c>
    </row>
    <row r="198" spans="2:7" ht="12.75">
      <c r="B198" t="s">
        <v>139</v>
      </c>
      <c r="E198" s="17" t="s">
        <v>152</v>
      </c>
      <c r="G198" t="s">
        <v>96</v>
      </c>
    </row>
    <row r="199" spans="2:7" ht="12.75">
      <c r="B199" t="s">
        <v>141</v>
      </c>
      <c r="E199" s="17" t="s">
        <v>153</v>
      </c>
      <c r="G199" t="s">
        <v>154</v>
      </c>
    </row>
    <row r="200" ht="12.75">
      <c r="B200" t="s">
        <v>155</v>
      </c>
    </row>
    <row r="202" ht="12.75">
      <c r="B202" t="s">
        <v>156</v>
      </c>
    </row>
    <row r="204" ht="12.75">
      <c r="B204" t="s">
        <v>157</v>
      </c>
    </row>
    <row r="205" spans="2:5" ht="12.75">
      <c r="B205" t="s">
        <v>33</v>
      </c>
      <c r="E205" s="17" t="s">
        <v>158</v>
      </c>
    </row>
    <row r="206" spans="5:6" ht="12.75">
      <c r="E206">
        <f>(E194*E189+E195*E189-E189*E193*E191)/(2*E189+2*E193)</f>
        <v>452.1985343104597</v>
      </c>
      <c r="F206" t="s">
        <v>18</v>
      </c>
    </row>
    <row r="208" spans="2:5" ht="12.75">
      <c r="B208" t="s">
        <v>139</v>
      </c>
      <c r="E208" s="17" t="s">
        <v>152</v>
      </c>
    </row>
    <row r="209" spans="5:6" ht="12.75">
      <c r="E209">
        <f>(E194-E206)/E193</f>
        <v>640.0732844770147</v>
      </c>
      <c r="F209" t="s">
        <v>35</v>
      </c>
    </row>
    <row r="210" spans="2:5" ht="12.75">
      <c r="B210" t="s">
        <v>141</v>
      </c>
      <c r="E210" s="17" t="s">
        <v>153</v>
      </c>
    </row>
    <row r="211" spans="5:6" ht="12.75">
      <c r="E211">
        <f>(E195-E206)/E193</f>
        <v>390.0732844770147</v>
      </c>
      <c r="F211" t="s">
        <v>35</v>
      </c>
    </row>
    <row r="213" ht="12.75">
      <c r="B213" t="s">
        <v>159</v>
      </c>
    </row>
    <row r="215" ht="12.75">
      <c r="E215" s="11" t="s">
        <v>101</v>
      </c>
    </row>
    <row r="217" spans="1:2" ht="12.75">
      <c r="A217" s="14" t="s">
        <v>160</v>
      </c>
      <c r="B217" s="15" t="s">
        <v>187</v>
      </c>
    </row>
    <row r="218" ht="12.75">
      <c r="B218" s="31" t="s">
        <v>220</v>
      </c>
    </row>
    <row r="219" ht="12.75">
      <c r="B219" s="31" t="s">
        <v>161</v>
      </c>
    </row>
    <row r="220" ht="12.75">
      <c r="B220" s="31" t="s">
        <v>283</v>
      </c>
    </row>
    <row r="221" ht="12.75">
      <c r="B221" s="31" t="s">
        <v>284</v>
      </c>
    </row>
    <row r="222" ht="12.75">
      <c r="B222" s="31" t="s">
        <v>285</v>
      </c>
    </row>
    <row r="224" spans="1:7" ht="12.75">
      <c r="A224" s="15" t="s">
        <v>10</v>
      </c>
      <c r="B224" t="s">
        <v>83</v>
      </c>
      <c r="C224" t="s">
        <v>162</v>
      </c>
      <c r="F224">
        <f>250</f>
        <v>250</v>
      </c>
      <c r="G224" t="s">
        <v>33</v>
      </c>
    </row>
    <row r="225" spans="2:7" ht="12.75">
      <c r="B225" t="s">
        <v>163</v>
      </c>
      <c r="C225" t="s">
        <v>164</v>
      </c>
      <c r="F225" s="17">
        <f>250+0.04*250</f>
        <v>260</v>
      </c>
      <c r="G225" t="s">
        <v>33</v>
      </c>
    </row>
    <row r="226" spans="2:7" ht="12.75">
      <c r="B226" t="s">
        <v>165</v>
      </c>
      <c r="C226" t="s">
        <v>188</v>
      </c>
      <c r="F226" s="17" t="s">
        <v>166</v>
      </c>
      <c r="G226" t="s">
        <v>35</v>
      </c>
    </row>
    <row r="227" spans="2:7" ht="12.75">
      <c r="B227" t="s">
        <v>165</v>
      </c>
      <c r="F227">
        <f>200</f>
        <v>200</v>
      </c>
      <c r="G227" t="s">
        <v>35</v>
      </c>
    </row>
    <row r="228" spans="2:7" ht="12.75">
      <c r="B228" t="s">
        <v>33</v>
      </c>
      <c r="C228" t="s">
        <v>167</v>
      </c>
      <c r="F228">
        <v>240</v>
      </c>
      <c r="G228" t="s">
        <v>33</v>
      </c>
    </row>
    <row r="229" spans="2:3" ht="12.75">
      <c r="B229" t="s">
        <v>126</v>
      </c>
      <c r="C229" t="s">
        <v>168</v>
      </c>
    </row>
    <row r="230" ht="12.75">
      <c r="B230" t="s">
        <v>169</v>
      </c>
    </row>
    <row r="231" ht="12.75">
      <c r="I231" s="18"/>
    </row>
    <row r="232" spans="2:6" ht="12.75">
      <c r="B232" t="s">
        <v>126</v>
      </c>
      <c r="F232" s="17" t="s">
        <v>170</v>
      </c>
    </row>
    <row r="233" spans="6:7" ht="12.75">
      <c r="F233">
        <f>(F224-F228)/F227</f>
        <v>0.05</v>
      </c>
      <c r="G233" t="s">
        <v>40</v>
      </c>
    </row>
    <row r="234" spans="2:3" ht="12.75">
      <c r="B234" t="s">
        <v>171</v>
      </c>
      <c r="C234" t="s">
        <v>172</v>
      </c>
    </row>
    <row r="235" spans="2:3" ht="12.75">
      <c r="B235" t="s">
        <v>173</v>
      </c>
      <c r="C235" t="s">
        <v>174</v>
      </c>
    </row>
    <row r="236" spans="2:3" ht="12.75">
      <c r="B236" t="s">
        <v>175</v>
      </c>
      <c r="C236" t="s">
        <v>176</v>
      </c>
    </row>
    <row r="238" spans="2:7" ht="12.75">
      <c r="B238" t="s">
        <v>177</v>
      </c>
      <c r="C238" t="s">
        <v>178</v>
      </c>
      <c r="F238">
        <f>240/800</f>
        <v>0.3</v>
      </c>
      <c r="G238" t="s">
        <v>40</v>
      </c>
    </row>
    <row r="240" ht="12.75">
      <c r="B240" t="s">
        <v>179</v>
      </c>
    </row>
    <row r="241" ht="12.75">
      <c r="B241" t="s">
        <v>180</v>
      </c>
    </row>
    <row r="242" ht="12.75">
      <c r="B242" t="s">
        <v>181</v>
      </c>
    </row>
    <row r="243" ht="12.75">
      <c r="B243" t="s">
        <v>182</v>
      </c>
    </row>
    <row r="244" spans="2:8" ht="12.75">
      <c r="B244" t="s">
        <v>173</v>
      </c>
      <c r="F244">
        <v>352</v>
      </c>
      <c r="G244" t="s">
        <v>35</v>
      </c>
      <c r="H244" t="s">
        <v>19</v>
      </c>
    </row>
    <row r="245" spans="2:8" ht="12.75">
      <c r="B245" t="s">
        <v>183</v>
      </c>
      <c r="F245">
        <v>152</v>
      </c>
      <c r="G245" t="s">
        <v>35</v>
      </c>
      <c r="H245" t="s">
        <v>19</v>
      </c>
    </row>
    <row r="246" spans="2:7" ht="12.75">
      <c r="B246" t="s">
        <v>171</v>
      </c>
      <c r="F246">
        <v>242.4</v>
      </c>
      <c r="G246" t="s">
        <v>18</v>
      </c>
    </row>
    <row r="248" ht="12.75">
      <c r="B248" t="s">
        <v>184</v>
      </c>
    </row>
    <row r="249" ht="12.75">
      <c r="B249" t="s">
        <v>189</v>
      </c>
    </row>
    <row r="250" ht="12.75">
      <c r="B250" t="s">
        <v>286</v>
      </c>
    </row>
    <row r="251" ht="12.75">
      <c r="B251" t="s">
        <v>287</v>
      </c>
    </row>
    <row r="252" ht="12.75">
      <c r="B252" t="s">
        <v>288</v>
      </c>
    </row>
    <row r="254" ht="12.75">
      <c r="E254" s="11" t="s">
        <v>101</v>
      </c>
    </row>
    <row r="255" spans="1:2" ht="12.75">
      <c r="A255" s="14" t="s">
        <v>192</v>
      </c>
      <c r="B255" s="15" t="s">
        <v>191</v>
      </c>
    </row>
    <row r="256" ht="12.75">
      <c r="B256" s="31" t="s">
        <v>289</v>
      </c>
    </row>
    <row r="257" ht="12.75">
      <c r="B257" s="31" t="s">
        <v>290</v>
      </c>
    </row>
    <row r="259" spans="1:6" ht="12.75">
      <c r="A259" s="15" t="s">
        <v>10</v>
      </c>
      <c r="B259" t="s">
        <v>195</v>
      </c>
      <c r="C259" t="s">
        <v>196</v>
      </c>
      <c r="F259" t="s">
        <v>200</v>
      </c>
    </row>
    <row r="260" spans="2:5" ht="12.75">
      <c r="B260" t="s">
        <v>193</v>
      </c>
      <c r="C260" t="s">
        <v>194</v>
      </c>
      <c r="E260" s="17" t="s">
        <v>199</v>
      </c>
    </row>
    <row r="261" spans="2:5" ht="12.75">
      <c r="B261" t="s">
        <v>197</v>
      </c>
      <c r="C261" t="s">
        <v>198</v>
      </c>
      <c r="D261" s="17"/>
      <c r="E261" s="17" t="s">
        <v>201</v>
      </c>
    </row>
    <row r="262" spans="1:2" ht="12.75">
      <c r="B262" t="s">
        <v>221</v>
      </c>
    </row>
    <row r="264" spans="2:5" ht="12.75">
      <c r="B264" t="s">
        <v>193</v>
      </c>
      <c r="E264" s="17" t="s">
        <v>202</v>
      </c>
    </row>
    <row r="265" spans="2:5" ht="12.75">
      <c r="B265" t="s">
        <v>197</v>
      </c>
      <c r="E265" s="17" t="s">
        <v>203</v>
      </c>
    </row>
    <row r="266" spans="2:6" ht="12.75">
      <c r="B266" t="s">
        <v>204</v>
      </c>
      <c r="E266">
        <v>600</v>
      </c>
      <c r="F266" t="s">
        <v>81</v>
      </c>
    </row>
    <row r="267" spans="2:6" ht="12.75">
      <c r="B267" t="s">
        <v>193</v>
      </c>
      <c r="E267">
        <v>360</v>
      </c>
      <c r="F267" t="s">
        <v>31</v>
      </c>
    </row>
    <row r="268" spans="2:6" ht="12.75">
      <c r="B268" t="s">
        <v>197</v>
      </c>
      <c r="E268">
        <v>120</v>
      </c>
      <c r="F268" t="s">
        <v>31</v>
      </c>
    </row>
    <row r="269" ht="12.75">
      <c r="B269" t="s">
        <v>206</v>
      </c>
    </row>
    <row r="270" spans="2:5" ht="12.75">
      <c r="B270" t="s">
        <v>205</v>
      </c>
      <c r="E270">
        <f>E267/E266</f>
        <v>0.6</v>
      </c>
    </row>
    <row r="271" spans="2:5" ht="12.75">
      <c r="B271" t="s">
        <v>207</v>
      </c>
      <c r="E271" s="21">
        <f>E268/(E266*E266)</f>
        <v>0.0003333333333333333</v>
      </c>
    </row>
    <row r="272" spans="2:3" ht="12.75">
      <c r="B272" t="s">
        <v>208</v>
      </c>
      <c r="C272" t="s">
        <v>209</v>
      </c>
    </row>
    <row r="274" spans="2:5" ht="12.75">
      <c r="B274" t="s">
        <v>222</v>
      </c>
      <c r="E274" s="17" t="s">
        <v>210</v>
      </c>
    </row>
    <row r="275" spans="5:6" ht="12.75">
      <c r="E275">
        <f>(E267+E268)/2</f>
        <v>240</v>
      </c>
      <c r="F275" t="s">
        <v>31</v>
      </c>
    </row>
    <row r="276" ht="12.75">
      <c r="B276" t="s">
        <v>211</v>
      </c>
    </row>
    <row r="278" ht="12.75">
      <c r="B278" t="s">
        <v>212</v>
      </c>
    </row>
    <row r="280" ht="12.75">
      <c r="B280" t="s">
        <v>206</v>
      </c>
    </row>
    <row r="282" ht="12.75">
      <c r="B282" t="s">
        <v>213</v>
      </c>
    </row>
    <row r="283" spans="5:7" ht="12.75">
      <c r="E283" s="20">
        <f>(-E270+SQRT(E270*E270+4*E271*E275))/(2*E271)</f>
        <v>336.9316876852981</v>
      </c>
      <c r="F283" t="s">
        <v>81</v>
      </c>
      <c r="G283" t="s">
        <v>19</v>
      </c>
    </row>
    <row r="285" ht="12.75">
      <c r="E285" s="11" t="s">
        <v>101</v>
      </c>
    </row>
    <row r="287" spans="1:2" ht="12.75">
      <c r="A287" s="15" t="s">
        <v>216</v>
      </c>
      <c r="B287" s="15" t="s">
        <v>215</v>
      </c>
    </row>
    <row r="288" ht="12.75">
      <c r="B288" s="31" t="s">
        <v>292</v>
      </c>
    </row>
    <row r="289" ht="12.75">
      <c r="B289" s="31" t="s">
        <v>291</v>
      </c>
    </row>
    <row r="290" ht="12.75">
      <c r="B290" s="31" t="s">
        <v>217</v>
      </c>
    </row>
    <row r="291" ht="12.75">
      <c r="B291" s="31" t="s">
        <v>223</v>
      </c>
    </row>
    <row r="293" ht="12.75">
      <c r="A293" s="15" t="s">
        <v>10</v>
      </c>
    </row>
    <row r="294" spans="2:6" ht="12.75">
      <c r="B294" t="s">
        <v>33</v>
      </c>
      <c r="C294" t="s">
        <v>218</v>
      </c>
      <c r="E294">
        <v>240</v>
      </c>
      <c r="F294" t="s">
        <v>18</v>
      </c>
    </row>
    <row r="295" spans="2:6" ht="12.75">
      <c r="B295" t="s">
        <v>143</v>
      </c>
      <c r="C295" t="s">
        <v>144</v>
      </c>
      <c r="E295">
        <v>240</v>
      </c>
      <c r="F295" t="s">
        <v>42</v>
      </c>
    </row>
    <row r="296" spans="2:6" ht="12.75">
      <c r="B296" t="s">
        <v>219</v>
      </c>
      <c r="C296" t="s">
        <v>224</v>
      </c>
      <c r="E296">
        <f>E294/E295</f>
        <v>1</v>
      </c>
      <c r="F296" t="s">
        <v>35</v>
      </c>
    </row>
    <row r="297" spans="2:6" ht="12.75">
      <c r="B297" t="s">
        <v>225</v>
      </c>
      <c r="C297" t="s">
        <v>226</v>
      </c>
      <c r="E297">
        <v>4</v>
      </c>
      <c r="F297" t="s">
        <v>35</v>
      </c>
    </row>
    <row r="298" spans="2:6" ht="12.75">
      <c r="B298" t="s">
        <v>227</v>
      </c>
      <c r="C298" t="s">
        <v>228</v>
      </c>
      <c r="E298">
        <f>297:297-296:296</f>
        <v>3</v>
      </c>
      <c r="F298" t="s">
        <v>35</v>
      </c>
    </row>
    <row r="299" spans="2:6" ht="12.75">
      <c r="B299" t="s">
        <v>126</v>
      </c>
      <c r="C299" t="s">
        <v>168</v>
      </c>
      <c r="E299">
        <v>0.32</v>
      </c>
      <c r="F299" t="s">
        <v>40</v>
      </c>
    </row>
    <row r="300" spans="2:5" ht="12.75">
      <c r="B300" t="s">
        <v>230</v>
      </c>
      <c r="E300" s="17" t="s">
        <v>229</v>
      </c>
    </row>
    <row r="301" spans="5:6" ht="12.75">
      <c r="E301" s="17">
        <f>294:294-298:298*299:299</f>
        <v>239.04</v>
      </c>
      <c r="F301" t="s">
        <v>18</v>
      </c>
    </row>
    <row r="302" spans="2:5" ht="12.75">
      <c r="B302" t="s">
        <v>31</v>
      </c>
      <c r="C302" t="s">
        <v>231</v>
      </c>
      <c r="E302" s="17" t="s">
        <v>232</v>
      </c>
    </row>
    <row r="303" spans="2:7" ht="12.75">
      <c r="B303" t="s">
        <v>31</v>
      </c>
      <c r="E303" s="17">
        <f>E301*E298</f>
        <v>717.12</v>
      </c>
      <c r="F303" t="s">
        <v>31</v>
      </c>
      <c r="G303" t="s">
        <v>19</v>
      </c>
    </row>
    <row r="304" ht="12.75">
      <c r="B304" s="15" t="s">
        <v>20</v>
      </c>
    </row>
    <row r="305" spans="2:6" ht="12.75">
      <c r="B305" t="s">
        <v>225</v>
      </c>
      <c r="C305" t="s">
        <v>226</v>
      </c>
      <c r="E305">
        <v>25</v>
      </c>
      <c r="F305" t="s">
        <v>35</v>
      </c>
    </row>
    <row r="306" spans="2:5" ht="12.75">
      <c r="B306" t="s">
        <v>227</v>
      </c>
      <c r="C306" t="s">
        <v>228</v>
      </c>
      <c r="E306" s="17" t="s">
        <v>233</v>
      </c>
    </row>
    <row r="307" spans="5:6" ht="12.75">
      <c r="E307" s="17">
        <f>305:305-296:296</f>
        <v>24</v>
      </c>
      <c r="F307" t="s">
        <v>35</v>
      </c>
    </row>
    <row r="308" spans="2:5" ht="12.75">
      <c r="B308" t="s">
        <v>230</v>
      </c>
      <c r="E308" s="17" t="s">
        <v>229</v>
      </c>
    </row>
    <row r="309" spans="5:6" ht="12.75">
      <c r="E309" s="17">
        <f>E294-E307*E299</f>
        <v>232.32</v>
      </c>
      <c r="F309" t="s">
        <v>18</v>
      </c>
    </row>
    <row r="310" spans="2:5" ht="12.75">
      <c r="B310" t="s">
        <v>234</v>
      </c>
      <c r="E310" s="17" t="s">
        <v>235</v>
      </c>
    </row>
    <row r="311" spans="5:6" ht="12.75">
      <c r="E311" s="22">
        <f>E309*E307-E303</f>
        <v>4858.56</v>
      </c>
      <c r="F311" t="s">
        <v>31</v>
      </c>
    </row>
    <row r="312" ht="12.75">
      <c r="B312" t="s">
        <v>236</v>
      </c>
    </row>
    <row r="313" ht="12.75">
      <c r="B313" t="s">
        <v>237</v>
      </c>
    </row>
    <row r="315" spans="2:5" ht="12.75">
      <c r="B315" t="s">
        <v>238</v>
      </c>
      <c r="E315" s="17" t="s">
        <v>239</v>
      </c>
    </row>
    <row r="316" spans="5:6" ht="12.75">
      <c r="E316" s="17">
        <f>294:294*305:305</f>
        <v>6000</v>
      </c>
      <c r="F316" t="s">
        <v>31</v>
      </c>
    </row>
    <row r="317" spans="2:5" ht="12.75">
      <c r="B317" t="s">
        <v>240</v>
      </c>
      <c r="E317" s="17" t="s">
        <v>241</v>
      </c>
    </row>
    <row r="318" spans="5:7" ht="12.75">
      <c r="E318" s="17">
        <f>E311*100/E316</f>
        <v>80.97600000000001</v>
      </c>
      <c r="F318" t="s">
        <v>242</v>
      </c>
      <c r="G318" t="s">
        <v>19</v>
      </c>
    </row>
    <row r="320" ht="12.75">
      <c r="E320" s="11" t="s">
        <v>101</v>
      </c>
    </row>
    <row r="322" spans="1:3" ht="12.75">
      <c r="A322" s="23" t="s">
        <v>243</v>
      </c>
      <c r="B322" s="15" t="s">
        <v>244</v>
      </c>
      <c r="C322" s="15"/>
    </row>
    <row r="323" ht="12.75">
      <c r="B323" s="32" t="s">
        <v>276</v>
      </c>
    </row>
    <row r="324" ht="12.75">
      <c r="B324" s="32" t="s">
        <v>274</v>
      </c>
    </row>
    <row r="325" ht="12.75">
      <c r="B325" s="32" t="s">
        <v>245</v>
      </c>
    </row>
    <row r="326" ht="12.75">
      <c r="B326" s="32" t="s">
        <v>246</v>
      </c>
    </row>
    <row r="328" ht="12.75">
      <c r="B328" s="15" t="s">
        <v>275</v>
      </c>
    </row>
    <row r="329" spans="1:6" ht="12.75">
      <c r="B329" t="s">
        <v>33</v>
      </c>
      <c r="C329" t="s">
        <v>218</v>
      </c>
      <c r="E329">
        <v>230</v>
      </c>
      <c r="F329" t="s">
        <v>247</v>
      </c>
    </row>
    <row r="330" spans="2:6" ht="12.75">
      <c r="B330" t="s">
        <v>248</v>
      </c>
      <c r="E330">
        <v>20</v>
      </c>
      <c r="F330" t="s">
        <v>42</v>
      </c>
    </row>
    <row r="331" spans="2:6" ht="12.75">
      <c r="B331" t="s">
        <v>225</v>
      </c>
      <c r="E331">
        <v>1</v>
      </c>
      <c r="F331" t="s">
        <v>35</v>
      </c>
    </row>
    <row r="332" spans="2:6" ht="12.75">
      <c r="B332" t="s">
        <v>249</v>
      </c>
      <c r="C332" t="s">
        <v>149</v>
      </c>
      <c r="D332" s="17" t="s">
        <v>250</v>
      </c>
      <c r="E332" s="17">
        <f>E329-E330*E331</f>
        <v>210</v>
      </c>
      <c r="F332" t="s">
        <v>247</v>
      </c>
    </row>
    <row r="333" spans="2:6" ht="12.75">
      <c r="B333" t="s">
        <v>204</v>
      </c>
      <c r="C333" t="s">
        <v>266</v>
      </c>
      <c r="E333">
        <v>2000</v>
      </c>
      <c r="F333" t="s">
        <v>81</v>
      </c>
    </row>
    <row r="334" ht="12.75">
      <c r="B334" s="15" t="s">
        <v>251</v>
      </c>
    </row>
    <row r="335" spans="2:6" ht="12.75">
      <c r="B335" t="s">
        <v>252</v>
      </c>
      <c r="E335">
        <f>1/3.1416</f>
        <v>0.31830914183855363</v>
      </c>
      <c r="F335" t="s">
        <v>253</v>
      </c>
    </row>
    <row r="336" spans="2:6" ht="12.75">
      <c r="B336" t="s">
        <v>195</v>
      </c>
      <c r="E336">
        <v>50</v>
      </c>
      <c r="F336" t="s">
        <v>254</v>
      </c>
    </row>
    <row r="337" spans="2:6" ht="12.75">
      <c r="B337" t="s">
        <v>255</v>
      </c>
      <c r="C337" s="17" t="s">
        <v>256</v>
      </c>
      <c r="E337" s="17">
        <f>2*3.14*336:336*335:335</f>
        <v>99.94907053730584</v>
      </c>
      <c r="F337" t="s">
        <v>42</v>
      </c>
    </row>
    <row r="338" spans="2:6" ht="12.75">
      <c r="B338" t="s">
        <v>257</v>
      </c>
      <c r="E338">
        <f>331:331*337:337</f>
        <v>99.94907053730584</v>
      </c>
      <c r="F338" t="s">
        <v>18</v>
      </c>
    </row>
    <row r="339" spans="2:6" ht="12.75">
      <c r="B339" t="s">
        <v>259</v>
      </c>
      <c r="E339">
        <f>E331*E330</f>
        <v>20</v>
      </c>
      <c r="F339" t="s">
        <v>18</v>
      </c>
    </row>
    <row r="340" ht="12.75">
      <c r="B340" t="s">
        <v>258</v>
      </c>
    </row>
    <row r="344" spans="5:7" ht="12.75">
      <c r="E344" t="s">
        <v>261</v>
      </c>
      <c r="F344" s="16" t="s">
        <v>260</v>
      </c>
      <c r="G344" s="17" t="s">
        <v>268</v>
      </c>
    </row>
    <row r="345" spans="4:6" ht="12.75">
      <c r="D345" s="24"/>
      <c r="E345" s="8"/>
      <c r="F345" s="16"/>
    </row>
    <row r="346" spans="4:6" ht="12.75">
      <c r="D346" s="24" t="s">
        <v>195</v>
      </c>
      <c r="F346" s="4" t="s">
        <v>33</v>
      </c>
    </row>
    <row r="347" ht="12.75">
      <c r="E347" s="16"/>
    </row>
    <row r="348" ht="12.75">
      <c r="D348" s="7" t="s">
        <v>225</v>
      </c>
    </row>
    <row r="350" ht="12.75">
      <c r="B350" t="s">
        <v>293</v>
      </c>
    </row>
    <row r="351" spans="2:4" ht="12.75">
      <c r="B351" t="s">
        <v>294</v>
      </c>
      <c r="D351" s="17"/>
    </row>
    <row r="352" spans="2:4" ht="12.75">
      <c r="B352" t="s">
        <v>262</v>
      </c>
      <c r="D352" s="17"/>
    </row>
    <row r="353" spans="2:5" ht="12.75">
      <c r="B353" t="s">
        <v>263</v>
      </c>
      <c r="E353" s="17" t="s">
        <v>264</v>
      </c>
    </row>
    <row r="354" spans="5:6" ht="12.75">
      <c r="E354" s="22">
        <f>SQRT(E329*E329-E338*E338)</f>
        <v>207.14773302821507</v>
      </c>
      <c r="F354" t="s">
        <v>18</v>
      </c>
    </row>
    <row r="356" ht="12.75">
      <c r="B356" t="s">
        <v>295</v>
      </c>
    </row>
    <row r="357" ht="12.75">
      <c r="B357" t="s">
        <v>296</v>
      </c>
    </row>
    <row r="358" ht="12.75">
      <c r="B358" t="s">
        <v>297</v>
      </c>
    </row>
    <row r="359" spans="2:5" ht="12.75">
      <c r="B359" t="s">
        <v>265</v>
      </c>
      <c r="E359" s="17" t="s">
        <v>267</v>
      </c>
    </row>
    <row r="360" spans="5:7" ht="12.75">
      <c r="E360" s="17">
        <f>E354*E333/E332</f>
        <v>1972.8355526496673</v>
      </c>
      <c r="F360" t="s">
        <v>81</v>
      </c>
      <c r="G360" t="s">
        <v>19</v>
      </c>
    </row>
    <row r="362" spans="2:5" ht="12.75">
      <c r="B362" t="s">
        <v>269</v>
      </c>
      <c r="C362" t="s">
        <v>270</v>
      </c>
      <c r="D362" s="17" t="s">
        <v>271</v>
      </c>
      <c r="E362" s="22" t="s">
        <v>272</v>
      </c>
    </row>
    <row r="363" spans="5:7" ht="12.75">
      <c r="E363">
        <f>(E339+E354)/E329</f>
        <v>0.987598839253109</v>
      </c>
      <c r="F363" t="s">
        <v>273</v>
      </c>
      <c r="G363" t="s">
        <v>19</v>
      </c>
    </row>
    <row r="365" ht="12.75">
      <c r="E365" s="11" t="s">
        <v>101</v>
      </c>
    </row>
    <row r="367" spans="1:2" ht="12.75">
      <c r="A367" s="15" t="s">
        <v>306</v>
      </c>
      <c r="B367" s="15" t="s">
        <v>307</v>
      </c>
    </row>
    <row r="368" ht="12.75">
      <c r="B368" t="s">
        <v>308</v>
      </c>
    </row>
    <row r="369" ht="12.75">
      <c r="B369" t="s">
        <v>309</v>
      </c>
    </row>
    <row r="371" spans="1:8" ht="12.75">
      <c r="A371" t="s">
        <v>310</v>
      </c>
      <c r="C371">
        <v>0</v>
      </c>
      <c r="D371">
        <v>40</v>
      </c>
      <c r="E371">
        <v>80</v>
      </c>
      <c r="F371">
        <v>120</v>
      </c>
      <c r="G371">
        <v>160</v>
      </c>
      <c r="H371">
        <v>200</v>
      </c>
    </row>
    <row r="372" spans="1:8" ht="12.75">
      <c r="A372" t="s">
        <v>311</v>
      </c>
      <c r="C372">
        <v>3600</v>
      </c>
      <c r="D372">
        <v>3600</v>
      </c>
      <c r="E372">
        <v>2500</v>
      </c>
      <c r="F372">
        <v>2100</v>
      </c>
      <c r="G372">
        <v>1900</v>
      </c>
      <c r="H372">
        <v>1780</v>
      </c>
    </row>
    <row r="374" ht="12.75">
      <c r="B374" t="s">
        <v>312</v>
      </c>
    </row>
    <row r="375" ht="12.75">
      <c r="B375" t="s">
        <v>313</v>
      </c>
    </row>
    <row r="376" ht="12.75">
      <c r="B376" t="s">
        <v>314</v>
      </c>
    </row>
    <row r="378" ht="12.75">
      <c r="B378" s="15" t="s">
        <v>10</v>
      </c>
    </row>
    <row r="379" ht="12.75">
      <c r="B379" t="s">
        <v>315</v>
      </c>
    </row>
    <row r="380" ht="12.75">
      <c r="B380" t="s">
        <v>316</v>
      </c>
    </row>
    <row r="382" ht="12.75">
      <c r="B382" t="s">
        <v>317</v>
      </c>
    </row>
    <row r="383" ht="12.75">
      <c r="B383" t="s">
        <v>318</v>
      </c>
    </row>
    <row r="384" ht="12.75">
      <c r="B384" t="s">
        <v>319</v>
      </c>
    </row>
    <row r="386" ht="12.75">
      <c r="B386" t="s">
        <v>320</v>
      </c>
    </row>
    <row r="388" spans="2:9" ht="12.75">
      <c r="B388" t="s">
        <v>321</v>
      </c>
      <c r="C388" t="s">
        <v>90</v>
      </c>
      <c r="D388">
        <v>0</v>
      </c>
      <c r="E388">
        <v>40</v>
      </c>
      <c r="F388">
        <v>80</v>
      </c>
      <c r="G388">
        <v>120</v>
      </c>
      <c r="H388">
        <v>160</v>
      </c>
      <c r="I388">
        <v>200</v>
      </c>
    </row>
    <row r="389" spans="2:9" ht="12.75">
      <c r="B389" t="s">
        <v>322</v>
      </c>
      <c r="C389" t="s">
        <v>33</v>
      </c>
      <c r="D389">
        <f aca="true" t="shared" si="0" ref="D389:I389">0.15*D388</f>
        <v>0</v>
      </c>
      <c r="E389">
        <f t="shared" si="0"/>
        <v>6</v>
      </c>
      <c r="F389">
        <f t="shared" si="0"/>
        <v>12</v>
      </c>
      <c r="G389">
        <f t="shared" si="0"/>
        <v>18</v>
      </c>
      <c r="H389">
        <f t="shared" si="0"/>
        <v>24</v>
      </c>
      <c r="I389">
        <f t="shared" si="0"/>
        <v>30</v>
      </c>
    </row>
    <row r="390" spans="2:9" ht="12.75">
      <c r="B390" t="s">
        <v>323</v>
      </c>
      <c r="C390" t="s">
        <v>33</v>
      </c>
      <c r="D390">
        <v>0</v>
      </c>
      <c r="E390">
        <f>600-E389</f>
        <v>594</v>
      </c>
      <c r="F390">
        <f>600-F389</f>
        <v>588</v>
      </c>
      <c r="G390">
        <f>600-G389</f>
        <v>582</v>
      </c>
      <c r="H390">
        <f>600-H389</f>
        <v>576</v>
      </c>
      <c r="I390">
        <f>600-I389</f>
        <v>570</v>
      </c>
    </row>
    <row r="391" spans="2:9" ht="12.75">
      <c r="B391" t="s">
        <v>324</v>
      </c>
      <c r="D391" s="35">
        <v>0</v>
      </c>
      <c r="E391" s="35">
        <f>(E390/570)*(1780/D372)</f>
        <v>0.5152631578947369</v>
      </c>
      <c r="F391" s="35">
        <f>(F390/570)*(1780/E372)</f>
        <v>0.7344842105263159</v>
      </c>
      <c r="G391" s="35">
        <f>(G390/570)*(1780/F372)</f>
        <v>0.8654636591478697</v>
      </c>
      <c r="H391" s="35">
        <f>(H390/570)*(1780/G372)</f>
        <v>0.9467036011080333</v>
      </c>
      <c r="I391" s="35">
        <f>(I390/570)*(1780/H372)</f>
        <v>1</v>
      </c>
    </row>
    <row r="409" ht="12.75">
      <c r="O409" s="8" t="s">
        <v>330</v>
      </c>
    </row>
    <row r="414" ht="12.75">
      <c r="A414" t="s">
        <v>325</v>
      </c>
    </row>
    <row r="416" spans="1:8" ht="14.25">
      <c r="A416" t="s">
        <v>326</v>
      </c>
      <c r="H416" s="36"/>
    </row>
    <row r="417" ht="12.75">
      <c r="A417" t="s">
        <v>327</v>
      </c>
    </row>
    <row r="418" spans="1:6" ht="12.75">
      <c r="A418" t="s">
        <v>328</v>
      </c>
      <c r="E418" s="20">
        <f>1900*0.95/0.84</f>
        <v>2148.809523809524</v>
      </c>
      <c r="F418" t="s">
        <v>81</v>
      </c>
    </row>
    <row r="420" ht="12.75">
      <c r="A420" t="s">
        <v>329</v>
      </c>
    </row>
    <row r="422" ht="12.75">
      <c r="A422" s="8" t="s">
        <v>331</v>
      </c>
    </row>
    <row r="423" ht="12.75">
      <c r="A423" s="8" t="s">
        <v>332</v>
      </c>
    </row>
    <row r="424" ht="12.75">
      <c r="A424" t="s">
        <v>333</v>
      </c>
    </row>
    <row r="426" ht="12.75">
      <c r="E426" s="11" t="s">
        <v>101</v>
      </c>
    </row>
    <row r="428" spans="1:2" ht="12.75">
      <c r="A428" s="15" t="s">
        <v>336</v>
      </c>
      <c r="B428" s="15" t="s">
        <v>337</v>
      </c>
    </row>
    <row r="430" ht="12.75">
      <c r="B430" t="s">
        <v>338</v>
      </c>
    </row>
    <row r="431" ht="12.75">
      <c r="B431" t="s">
        <v>339</v>
      </c>
    </row>
    <row r="432" ht="12.75">
      <c r="B432" t="s">
        <v>340</v>
      </c>
    </row>
    <row r="433" ht="12.75">
      <c r="B433" t="s">
        <v>341</v>
      </c>
    </row>
    <row r="434" ht="12.75">
      <c r="B434" t="s">
        <v>344</v>
      </c>
    </row>
    <row r="435" ht="12.75">
      <c r="B435" t="s">
        <v>345</v>
      </c>
    </row>
    <row r="436" ht="12.75">
      <c r="B436" t="s">
        <v>342</v>
      </c>
    </row>
    <row r="438" ht="12.75">
      <c r="B438" s="15" t="s">
        <v>10</v>
      </c>
    </row>
    <row r="439" ht="12.75">
      <c r="B439" t="s">
        <v>394</v>
      </c>
    </row>
    <row r="441" ht="12.75">
      <c r="B441" t="s">
        <v>347</v>
      </c>
    </row>
    <row r="443" ht="12.75">
      <c r="B443" t="s">
        <v>343</v>
      </c>
    </row>
    <row r="445" ht="12.75">
      <c r="B445" t="s">
        <v>346</v>
      </c>
    </row>
    <row r="447" ht="12.75">
      <c r="B447" t="s">
        <v>348</v>
      </c>
    </row>
    <row r="449" ht="12.75">
      <c r="B449" t="s">
        <v>349</v>
      </c>
    </row>
    <row r="451" ht="12.75">
      <c r="B451" t="s">
        <v>350</v>
      </c>
    </row>
    <row r="453" spans="2:7" ht="12.75">
      <c r="B453" t="s">
        <v>351</v>
      </c>
      <c r="F453">
        <f>1000*2*3.1416/60</f>
        <v>104.72</v>
      </c>
      <c r="G453" t="s">
        <v>352</v>
      </c>
    </row>
    <row r="455" spans="2:6" ht="12.75">
      <c r="B455" t="s">
        <v>354</v>
      </c>
      <c r="F455">
        <v>150</v>
      </c>
    </row>
    <row r="456" spans="2:6" ht="12.75">
      <c r="B456" t="s">
        <v>355</v>
      </c>
      <c r="F456">
        <v>75</v>
      </c>
    </row>
    <row r="458" spans="2:6" ht="12.75">
      <c r="B458" t="s">
        <v>356</v>
      </c>
      <c r="F458">
        <f>F455/F456</f>
        <v>2</v>
      </c>
    </row>
    <row r="460" spans="2:6" ht="12.75">
      <c r="B460" t="s">
        <v>353</v>
      </c>
      <c r="F460">
        <v>1</v>
      </c>
    </row>
    <row r="462" spans="2:6" ht="12.75">
      <c r="B462" t="s">
        <v>357</v>
      </c>
      <c r="F462">
        <f>100*F453*F460/F456</f>
        <v>139.62666666666667</v>
      </c>
    </row>
    <row r="464" ht="12.75">
      <c r="B464" t="s">
        <v>358</v>
      </c>
    </row>
    <row r="466" ht="12.75">
      <c r="B466" t="s">
        <v>359</v>
      </c>
    </row>
    <row r="468" ht="12.75">
      <c r="B468" t="s">
        <v>360</v>
      </c>
    </row>
    <row r="470" ht="12.75">
      <c r="B470" t="s">
        <v>364</v>
      </c>
    </row>
    <row r="472" spans="2:7" ht="12.75">
      <c r="B472" t="s">
        <v>362</v>
      </c>
      <c r="F472">
        <v>0.5</v>
      </c>
      <c r="G472" t="s">
        <v>363</v>
      </c>
    </row>
    <row r="473" spans="2:6" ht="12.75">
      <c r="B473" t="s">
        <v>361</v>
      </c>
      <c r="F473">
        <f>(F462/(F458*F458))*(F458*F472-1+EXP(-F458*F472))</f>
        <v>12.841445026491147</v>
      </c>
    </row>
    <row r="475" ht="12.75">
      <c r="E475" s="11" t="s">
        <v>101</v>
      </c>
    </row>
    <row r="477" spans="1:2" ht="12.75">
      <c r="A477" t="s">
        <v>366</v>
      </c>
      <c r="B477" s="15" t="s">
        <v>367</v>
      </c>
    </row>
    <row r="479" ht="12.75">
      <c r="B479" t="s">
        <v>368</v>
      </c>
    </row>
    <row r="480" ht="12.75">
      <c r="B480" t="s">
        <v>369</v>
      </c>
    </row>
    <row r="481" ht="12.75">
      <c r="B481" t="s">
        <v>390</v>
      </c>
    </row>
    <row r="482" ht="12.75">
      <c r="B482" t="s">
        <v>370</v>
      </c>
    </row>
    <row r="484" ht="12.75">
      <c r="B484" s="15" t="s">
        <v>10</v>
      </c>
    </row>
    <row r="486" ht="12.75">
      <c r="B486" t="s">
        <v>375</v>
      </c>
    </row>
    <row r="487" spans="2:6" ht="12.75">
      <c r="B487" t="s">
        <v>225</v>
      </c>
      <c r="C487" t="s">
        <v>35</v>
      </c>
      <c r="F487">
        <v>0.8</v>
      </c>
    </row>
    <row r="488" spans="2:6" ht="12.75">
      <c r="B488" t="s">
        <v>371</v>
      </c>
      <c r="C488" t="s">
        <v>42</v>
      </c>
      <c r="F488">
        <v>30</v>
      </c>
    </row>
    <row r="489" spans="2:6" ht="12.75">
      <c r="B489" t="s">
        <v>372</v>
      </c>
      <c r="F489">
        <f>F487*F488</f>
        <v>24</v>
      </c>
    </row>
    <row r="490" spans="2:6" ht="12.75">
      <c r="B490" t="s">
        <v>57</v>
      </c>
      <c r="C490" t="s">
        <v>247</v>
      </c>
      <c r="F490">
        <v>250</v>
      </c>
    </row>
    <row r="491" spans="2:7" ht="12.75">
      <c r="B491" t="s">
        <v>373</v>
      </c>
      <c r="C491" t="s">
        <v>247</v>
      </c>
      <c r="D491" t="s">
        <v>385</v>
      </c>
      <c r="F491">
        <f>F490-F489</f>
        <v>226</v>
      </c>
      <c r="G491" t="s">
        <v>247</v>
      </c>
    </row>
    <row r="493" ht="12.75">
      <c r="B493" t="s">
        <v>374</v>
      </c>
    </row>
    <row r="494" spans="2:6" ht="12.75">
      <c r="B494" t="s">
        <v>252</v>
      </c>
      <c r="C494" t="s">
        <v>253</v>
      </c>
      <c r="F494">
        <v>0.5</v>
      </c>
    </row>
    <row r="495" spans="2:6" ht="12.75">
      <c r="B495" t="s">
        <v>376</v>
      </c>
      <c r="F495">
        <f>2*3.1416*50*F494</f>
        <v>157.07999999999998</v>
      </c>
    </row>
    <row r="496" spans="2:7" ht="12.75">
      <c r="B496" t="s">
        <v>377</v>
      </c>
      <c r="F496">
        <f>F487*F495</f>
        <v>125.66399999999999</v>
      </c>
      <c r="G496" t="s">
        <v>247</v>
      </c>
    </row>
    <row r="499" spans="5:7" ht="12.75">
      <c r="E499" t="s">
        <v>378</v>
      </c>
      <c r="G499" t="s">
        <v>263</v>
      </c>
    </row>
    <row r="501" ht="12.75">
      <c r="G501" t="s">
        <v>379</v>
      </c>
    </row>
    <row r="502" ht="12.75">
      <c r="D502" t="s">
        <v>381</v>
      </c>
    </row>
    <row r="504" spans="5:7" ht="12.75">
      <c r="E504" s="16" t="s">
        <v>392</v>
      </c>
      <c r="G504" t="s">
        <v>380</v>
      </c>
    </row>
    <row r="506" ht="12.75">
      <c r="E506" t="s">
        <v>382</v>
      </c>
    </row>
    <row r="509" ht="12.75">
      <c r="B509" t="s">
        <v>383</v>
      </c>
    </row>
    <row r="510" ht="12.75">
      <c r="B510" t="s">
        <v>384</v>
      </c>
    </row>
    <row r="512" spans="2:7" ht="12.75">
      <c r="B512" t="s">
        <v>386</v>
      </c>
      <c r="F512" s="37">
        <f>SQRT(F490*F490-F496*F496)-F489</f>
        <v>192.12163034735786</v>
      </c>
      <c r="G512" t="s">
        <v>247</v>
      </c>
    </row>
    <row r="514" ht="12.75">
      <c r="B514" t="s">
        <v>387</v>
      </c>
    </row>
    <row r="515" ht="12.75">
      <c r="B515" t="s">
        <v>388</v>
      </c>
    </row>
    <row r="516" ht="12.75">
      <c r="B516" t="s">
        <v>389</v>
      </c>
    </row>
    <row r="518" spans="2:7" ht="12.75">
      <c r="B518" t="s">
        <v>391</v>
      </c>
      <c r="F518">
        <f>2000*F512/F491</f>
        <v>1700.1914190031669</v>
      </c>
      <c r="G518" t="s">
        <v>81</v>
      </c>
    </row>
    <row r="520" spans="2:7" ht="12.75">
      <c r="B520" t="s">
        <v>393</v>
      </c>
      <c r="F520" s="35">
        <f>(F512+F489)/F490</f>
        <v>0.8644865213894315</v>
      </c>
      <c r="G520" t="s">
        <v>273</v>
      </c>
    </row>
    <row r="522" ht="12.75">
      <c r="E522" s="11" t="s">
        <v>101</v>
      </c>
    </row>
    <row r="524" spans="1:3" ht="12.75">
      <c r="A524" s="15" t="s">
        <v>421</v>
      </c>
      <c r="C524" s="15" t="s">
        <v>395</v>
      </c>
    </row>
    <row r="526" ht="12.75">
      <c r="B526" t="s">
        <v>396</v>
      </c>
    </row>
    <row r="527" ht="12.75">
      <c r="B527" t="s">
        <v>397</v>
      </c>
    </row>
    <row r="528" ht="12.75">
      <c r="B528" t="s">
        <v>398</v>
      </c>
    </row>
    <row r="529" ht="12.75">
      <c r="B529" t="s">
        <v>399</v>
      </c>
    </row>
    <row r="530" ht="12.75">
      <c r="B530" t="s">
        <v>400</v>
      </c>
    </row>
    <row r="531" ht="12.75">
      <c r="B531" t="s">
        <v>401</v>
      </c>
    </row>
    <row r="533" ht="12.75">
      <c r="B533" s="15" t="s">
        <v>10</v>
      </c>
    </row>
    <row r="534" ht="12.75">
      <c r="B534" t="s">
        <v>402</v>
      </c>
    </row>
    <row r="536" ht="12.75">
      <c r="B536" t="s">
        <v>403</v>
      </c>
    </row>
    <row r="538" ht="12.75">
      <c r="B538" t="s">
        <v>404</v>
      </c>
    </row>
    <row r="539" ht="12.75">
      <c r="B539" t="s">
        <v>405</v>
      </c>
    </row>
    <row r="540" ht="12.75">
      <c r="B540" t="s">
        <v>406</v>
      </c>
    </row>
    <row r="542" ht="12.75">
      <c r="B542" t="s">
        <v>407</v>
      </c>
    </row>
    <row r="544" ht="12.75">
      <c r="B544" t="s">
        <v>408</v>
      </c>
    </row>
    <row r="546" ht="12.75">
      <c r="B546" t="s">
        <v>409</v>
      </c>
    </row>
    <row r="548" ht="12.75">
      <c r="B548" t="s">
        <v>410</v>
      </c>
    </row>
    <row r="550" ht="12.75">
      <c r="B550" s="17" t="s">
        <v>411</v>
      </c>
    </row>
    <row r="553" spans="2:6" ht="12.75">
      <c r="B553" t="s">
        <v>412</v>
      </c>
      <c r="F553">
        <f>(10+100)/200</f>
        <v>0.55</v>
      </c>
    </row>
    <row r="555" spans="2:6" ht="12.75">
      <c r="B555" t="s">
        <v>413</v>
      </c>
      <c r="F555">
        <f>100/200</f>
        <v>0.5</v>
      </c>
    </row>
    <row r="557" spans="2:6" ht="12.75">
      <c r="B557" t="s">
        <v>414</v>
      </c>
      <c r="F557">
        <f>20*F555</f>
        <v>10</v>
      </c>
    </row>
    <row r="559" ht="12.75">
      <c r="B559" t="s">
        <v>206</v>
      </c>
    </row>
    <row r="561" ht="12.75">
      <c r="B561" t="s">
        <v>415</v>
      </c>
    </row>
    <row r="563" ht="12.75">
      <c r="B563" t="s">
        <v>416</v>
      </c>
    </row>
    <row r="565" ht="12.75">
      <c r="B565" t="s">
        <v>417</v>
      </c>
    </row>
    <row r="567" ht="12.75">
      <c r="B567" t="s">
        <v>418</v>
      </c>
    </row>
    <row r="569" ht="12.75">
      <c r="B569" t="s">
        <v>419</v>
      </c>
    </row>
    <row r="571" ht="12.75">
      <c r="B571" t="s">
        <v>420</v>
      </c>
    </row>
    <row r="572" ht="13.5" thickBot="1"/>
    <row r="573" spans="4:6" ht="13.5" thickBot="1">
      <c r="D573" s="18"/>
      <c r="E573" s="38" t="s">
        <v>101</v>
      </c>
      <c r="F573" s="39"/>
    </row>
  </sheetData>
  <sheetProtection/>
  <hyperlinks>
    <hyperlink ref="E42" location="A5" display="A5"/>
    <hyperlink ref="E75" location="A5" display="A5"/>
    <hyperlink ref="E90" location="A5" display="A5"/>
    <hyperlink ref="E128" location="A5" display="A5"/>
    <hyperlink ref="D8" location="a93" display="a93"/>
    <hyperlink ref="D8:G8" location="a92" display="a92"/>
    <hyperlink ref="D9" location="a134" display="a134"/>
    <hyperlink ref="E177" location="A5" display="A5"/>
    <hyperlink ref="D8:I8" r:id="rId1" display="http://electrical-gate/indulkar/chapter1.xls#a93"/>
    <hyperlink ref="D9:G9" r:id="rId2" display="http://electrical-gate/indulkar/chapter1.xls#a134"/>
    <hyperlink ref="D10:G10" r:id="rId3" display="http://electrical-gate/indulkar/chapter1.xls#a185"/>
    <hyperlink ref="D7:I7" location="a78" display="a78"/>
    <hyperlink ref="D8:J8" location="a93" display="a93"/>
    <hyperlink ref="D9:H9" location="a134" display="a134"/>
    <hyperlink ref="D10:H10" location="a185" display="a185"/>
    <hyperlink ref="E215" location="A5" display="A5"/>
    <hyperlink ref="D11" location="a224" display="a224"/>
    <hyperlink ref="E254" location="A5" display="A5"/>
    <hyperlink ref="D12" location="a262" display="a262"/>
    <hyperlink ref="E285" location="A5" display="A5"/>
    <hyperlink ref="D13" location="a293" display="a293"/>
    <hyperlink ref="E320" location="A5" display="A5"/>
    <hyperlink ref="E365" location="A5" display="A5"/>
    <hyperlink ref="D14" location="a329" display="a329"/>
    <hyperlink ref="D5" location="Sheet1!A23" display="d.c.generator - back emf"/>
    <hyperlink ref="D6" location="a44" display="a44"/>
    <hyperlink ref="C7:G7" location="a77" display="a77"/>
    <hyperlink ref="A19" r:id="rId4" display="WEBSITE"/>
    <hyperlink ref="E426" location="A5" display="A5"/>
    <hyperlink ref="D15" location="Sheet1!A364" display="d.c. motor- field weakening"/>
    <hyperlink ref="D16" location="Sheet1!A428" display="d.c.generator -Transient behaviour"/>
    <hyperlink ref="E475" location="A5" display="A5"/>
    <hyperlink ref="D17" location="Sheet1!A476" display="Fractional kW series moor"/>
    <hyperlink ref="E522" location="A5" display="A5"/>
    <hyperlink ref="E573" location="A6" display="A6"/>
    <hyperlink ref="D18" location="Sheet1!A524" display="Speed controller of  a d.c motor"/>
  </hyperlinks>
  <printOptions gridLines="1"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1999-07-24T00:08:21Z</cp:lastPrinted>
  <dcterms:created xsi:type="dcterms:W3CDTF">1999-01-26T21:17:56Z</dcterms:created>
  <dcterms:modified xsi:type="dcterms:W3CDTF">2012-11-24T10:59:46Z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